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Employees\Goralski\Cost of Service\IPC-E-21-21\2021 COS\"/>
    </mc:Choice>
  </mc:AlternateContent>
  <xr:revisionPtr revIDLastSave="0" documentId="13_ncr:1_{E6CFFAFE-4C12-487B-AEF5-1B964B8530E9}" xr6:coauthVersionLast="46" xr6:coauthVersionMax="46" xr10:uidLastSave="{00000000-0000-0000-0000-000000000000}"/>
  <bookViews>
    <workbookView xWindow="22932" yWindow="-108" windowWidth="23256" windowHeight="12576" xr2:uid="{1C20BEB0-6BA9-42E2-B5C0-8C9AF7AAA960}"/>
  </bookViews>
  <sheets>
    <sheet name="2021 ROO" sheetId="2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'2021 ROO'!$A$1:$I$1129</definedName>
    <definedName name="_xlnm.Print_Titles" localSheetId="0">'2021 ROO'!$1:$8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4" i="2" l="1"/>
  <c r="H334" i="2"/>
  <c r="A522" i="2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F1129" i="2" l="1"/>
  <c r="E1129" i="2"/>
  <c r="D1129" i="2"/>
  <c r="C1129" i="2"/>
  <c r="B1129" i="2"/>
  <c r="F1128" i="2"/>
  <c r="E1128" i="2"/>
  <c r="D1128" i="2"/>
  <c r="C1128" i="2"/>
  <c r="B1128" i="2"/>
  <c r="F1127" i="2"/>
  <c r="E1127" i="2"/>
  <c r="D1127" i="2"/>
  <c r="C1127" i="2"/>
  <c r="B1127" i="2"/>
  <c r="F1126" i="2"/>
  <c r="E1126" i="2"/>
  <c r="D1126" i="2"/>
  <c r="C1126" i="2"/>
  <c r="B1126" i="2"/>
  <c r="F1125" i="2"/>
  <c r="E1125" i="2"/>
  <c r="D1125" i="2"/>
  <c r="C1125" i="2"/>
  <c r="B1125" i="2"/>
  <c r="F1124" i="2"/>
  <c r="E1124" i="2"/>
  <c r="D1124" i="2"/>
  <c r="C1124" i="2"/>
  <c r="B1124" i="2"/>
  <c r="F1123" i="2"/>
  <c r="E1123" i="2"/>
  <c r="D1123" i="2"/>
  <c r="C1123" i="2"/>
  <c r="B1123" i="2"/>
  <c r="F1122" i="2"/>
  <c r="E1122" i="2"/>
  <c r="D1122" i="2"/>
  <c r="C1122" i="2"/>
  <c r="B1122" i="2"/>
  <c r="F1121" i="2"/>
  <c r="E1121" i="2"/>
  <c r="D1121" i="2"/>
  <c r="C1121" i="2"/>
  <c r="B1121" i="2"/>
  <c r="F1120" i="2"/>
  <c r="E1120" i="2"/>
  <c r="D1120" i="2"/>
  <c r="C1120" i="2"/>
  <c r="B1120" i="2"/>
  <c r="F1119" i="2"/>
  <c r="E1119" i="2"/>
  <c r="D1119" i="2"/>
  <c r="C1119" i="2"/>
  <c r="B1119" i="2"/>
  <c r="F1118" i="2"/>
  <c r="E1118" i="2"/>
  <c r="D1118" i="2"/>
  <c r="C1118" i="2"/>
  <c r="B1118" i="2"/>
  <c r="B1117" i="2"/>
  <c r="B1116" i="2"/>
  <c r="B1115" i="2"/>
  <c r="G1114" i="2"/>
  <c r="F1114" i="2"/>
  <c r="E1114" i="2"/>
  <c r="D1114" i="2"/>
  <c r="C1114" i="2"/>
  <c r="B1114" i="2"/>
  <c r="H1113" i="2"/>
  <c r="F1113" i="2"/>
  <c r="E1113" i="2"/>
  <c r="D1113" i="2"/>
  <c r="C1113" i="2"/>
  <c r="F1112" i="2"/>
  <c r="E1112" i="2"/>
  <c r="D1112" i="2"/>
  <c r="C1112" i="2"/>
  <c r="F1111" i="2"/>
  <c r="E1111" i="2"/>
  <c r="D1111" i="2"/>
  <c r="C1111" i="2"/>
  <c r="H1110" i="2"/>
  <c r="F1110" i="2"/>
  <c r="E1110" i="2"/>
  <c r="D1110" i="2"/>
  <c r="C1110" i="2"/>
  <c r="F1109" i="2"/>
  <c r="E1109" i="2"/>
  <c r="D1109" i="2"/>
  <c r="C1109" i="2"/>
  <c r="H1108" i="2"/>
  <c r="F1108" i="2"/>
  <c r="E1108" i="2"/>
  <c r="D1108" i="2"/>
  <c r="C1108" i="2"/>
  <c r="H1107" i="2"/>
  <c r="F1107" i="2"/>
  <c r="E1107" i="2"/>
  <c r="D1107" i="2"/>
  <c r="C1107" i="2"/>
  <c r="H1106" i="2"/>
  <c r="F1106" i="2"/>
  <c r="E1106" i="2"/>
  <c r="D1106" i="2"/>
  <c r="C1106" i="2"/>
  <c r="H1105" i="2"/>
  <c r="F1105" i="2"/>
  <c r="E1105" i="2"/>
  <c r="D1105" i="2"/>
  <c r="C1105" i="2"/>
  <c r="F1104" i="2"/>
  <c r="E1104" i="2"/>
  <c r="D1104" i="2"/>
  <c r="C1104" i="2"/>
  <c r="H1103" i="2"/>
  <c r="F1103" i="2"/>
  <c r="E1103" i="2"/>
  <c r="D1103" i="2"/>
  <c r="C1103" i="2"/>
  <c r="F1102" i="2"/>
  <c r="E1102" i="2"/>
  <c r="D1102" i="2"/>
  <c r="C1102" i="2"/>
  <c r="F1101" i="2"/>
  <c r="E1101" i="2"/>
  <c r="D1101" i="2"/>
  <c r="C1101" i="2"/>
  <c r="H1100" i="2"/>
  <c r="F1100" i="2"/>
  <c r="E1100" i="2"/>
  <c r="D1100" i="2"/>
  <c r="C1100" i="2"/>
  <c r="H1099" i="2"/>
  <c r="F1099" i="2"/>
  <c r="E1099" i="2"/>
  <c r="D1099" i="2"/>
  <c r="C1099" i="2"/>
  <c r="H1098" i="2"/>
  <c r="F1098" i="2"/>
  <c r="E1098" i="2"/>
  <c r="D1098" i="2"/>
  <c r="C1098" i="2"/>
  <c r="H1097" i="2"/>
  <c r="F1097" i="2"/>
  <c r="E1097" i="2"/>
  <c r="D1097" i="2"/>
  <c r="C1097" i="2"/>
  <c r="F1096" i="2"/>
  <c r="E1096" i="2"/>
  <c r="D1096" i="2"/>
  <c r="C1096" i="2"/>
  <c r="H1095" i="2"/>
  <c r="F1095" i="2"/>
  <c r="E1095" i="2"/>
  <c r="D1095" i="2"/>
  <c r="C1095" i="2"/>
  <c r="H1094" i="2"/>
  <c r="F1094" i="2"/>
  <c r="E1094" i="2"/>
  <c r="D1094" i="2"/>
  <c r="C1094" i="2"/>
  <c r="F1093" i="2"/>
  <c r="E1093" i="2"/>
  <c r="D1093" i="2"/>
  <c r="C1093" i="2"/>
  <c r="H1092" i="2"/>
  <c r="F1092" i="2"/>
  <c r="E1092" i="2"/>
  <c r="D1092" i="2"/>
  <c r="C1092" i="2"/>
  <c r="H1091" i="2"/>
  <c r="F1091" i="2"/>
  <c r="E1091" i="2"/>
  <c r="D1091" i="2"/>
  <c r="C1091" i="2"/>
  <c r="H1090" i="2"/>
  <c r="F1090" i="2"/>
  <c r="E1090" i="2"/>
  <c r="D1090" i="2"/>
  <c r="C1090" i="2"/>
  <c r="B1089" i="2"/>
  <c r="B1087" i="2"/>
  <c r="F1086" i="2"/>
  <c r="E1086" i="2"/>
  <c r="D1086" i="2"/>
  <c r="C1086" i="2"/>
  <c r="H1085" i="2"/>
  <c r="F1085" i="2"/>
  <c r="E1085" i="2"/>
  <c r="D1085" i="2"/>
  <c r="C1085" i="2"/>
  <c r="H1084" i="2"/>
  <c r="F1084" i="2"/>
  <c r="E1084" i="2"/>
  <c r="D1084" i="2"/>
  <c r="C1084" i="2"/>
  <c r="H1083" i="2"/>
  <c r="F1083" i="2"/>
  <c r="E1083" i="2"/>
  <c r="D1083" i="2"/>
  <c r="C1083" i="2"/>
  <c r="H1082" i="2"/>
  <c r="F1082" i="2"/>
  <c r="E1082" i="2"/>
  <c r="D1082" i="2"/>
  <c r="C1082" i="2"/>
  <c r="F1081" i="2"/>
  <c r="E1081" i="2"/>
  <c r="D1081" i="2"/>
  <c r="C1081" i="2"/>
  <c r="B1080" i="2"/>
  <c r="B1079" i="2"/>
  <c r="F1078" i="2"/>
  <c r="E1078" i="2"/>
  <c r="D1078" i="2"/>
  <c r="C1078" i="2"/>
  <c r="B1078" i="2"/>
  <c r="F1077" i="2"/>
  <c r="E1077" i="2"/>
  <c r="C1077" i="2"/>
  <c r="F1076" i="2"/>
  <c r="E1076" i="2"/>
  <c r="D1076" i="2"/>
  <c r="C1076" i="2"/>
  <c r="B1076" i="2"/>
  <c r="B1075" i="2"/>
  <c r="H1073" i="2"/>
  <c r="F1073" i="2"/>
  <c r="E1073" i="2"/>
  <c r="D1073" i="2"/>
  <c r="C1073" i="2"/>
  <c r="B1073" i="2"/>
  <c r="F1071" i="2"/>
  <c r="E1071" i="2"/>
  <c r="D1071" i="2"/>
  <c r="C1071" i="2"/>
  <c r="B1071" i="2"/>
  <c r="F1070" i="2"/>
  <c r="E1070" i="2"/>
  <c r="D1070" i="2"/>
  <c r="C1070" i="2"/>
  <c r="B1070" i="2"/>
  <c r="B1069" i="2"/>
  <c r="B1067" i="2"/>
  <c r="J1066" i="2"/>
  <c r="J1065" i="2"/>
  <c r="J1064" i="2"/>
  <c r="J1063" i="2"/>
  <c r="J1062" i="2"/>
  <c r="J1061" i="2"/>
  <c r="J1060" i="2"/>
  <c r="J1059" i="2"/>
  <c r="J1058" i="2"/>
  <c r="J1057" i="2"/>
  <c r="J1056" i="2"/>
  <c r="J1055" i="2"/>
  <c r="J1051" i="2"/>
  <c r="I1114" i="2"/>
  <c r="H1114" i="2"/>
  <c r="J1050" i="2"/>
  <c r="I1113" i="2"/>
  <c r="J1049" i="2"/>
  <c r="J1048" i="2"/>
  <c r="J1047" i="2"/>
  <c r="J1046" i="2"/>
  <c r="G1046" i="2"/>
  <c r="J1045" i="2"/>
  <c r="J1044" i="2"/>
  <c r="G1044" i="2"/>
  <c r="I1110" i="2" s="1"/>
  <c r="J1043" i="2"/>
  <c r="G1043" i="2"/>
  <c r="H1109" i="2" s="1"/>
  <c r="J1042" i="2"/>
  <c r="I1108" i="2"/>
  <c r="G1108" i="2"/>
  <c r="J1041" i="2"/>
  <c r="I1107" i="2"/>
  <c r="G1107" i="2"/>
  <c r="J1040" i="2"/>
  <c r="I1106" i="2"/>
  <c r="G1106" i="2"/>
  <c r="J1039" i="2"/>
  <c r="I1105" i="2"/>
  <c r="G1105" i="2"/>
  <c r="J1038" i="2"/>
  <c r="I1104" i="2"/>
  <c r="H1104" i="2"/>
  <c r="G1104" i="2"/>
  <c r="J1037" i="2"/>
  <c r="I1103" i="2"/>
  <c r="G1103" i="2"/>
  <c r="J1036" i="2"/>
  <c r="G1102" i="2"/>
  <c r="J1035" i="2"/>
  <c r="G1101" i="2"/>
  <c r="J1034" i="2"/>
  <c r="I1100" i="2"/>
  <c r="G1100" i="2"/>
  <c r="J1033" i="2"/>
  <c r="I1099" i="2"/>
  <c r="G1099" i="2"/>
  <c r="J1032" i="2"/>
  <c r="I1098" i="2"/>
  <c r="G1098" i="2"/>
  <c r="J1031" i="2"/>
  <c r="I1097" i="2"/>
  <c r="G1097" i="2"/>
  <c r="J1030" i="2"/>
  <c r="I1096" i="2"/>
  <c r="H1096" i="2"/>
  <c r="G1096" i="2"/>
  <c r="J1029" i="2"/>
  <c r="I1095" i="2"/>
  <c r="G1095" i="2"/>
  <c r="J1028" i="2"/>
  <c r="I1094" i="2"/>
  <c r="G1094" i="2"/>
  <c r="J1027" i="2"/>
  <c r="I1093" i="2"/>
  <c r="G1093" i="2"/>
  <c r="J1026" i="2"/>
  <c r="I1092" i="2"/>
  <c r="G1092" i="2"/>
  <c r="J1025" i="2"/>
  <c r="I1091" i="2"/>
  <c r="G1091" i="2"/>
  <c r="J1024" i="2"/>
  <c r="I1090" i="2"/>
  <c r="G1090" i="2"/>
  <c r="B1021" i="2"/>
  <c r="J1020" i="2"/>
  <c r="I1086" i="2"/>
  <c r="G1086" i="2"/>
  <c r="J1019" i="2"/>
  <c r="I1085" i="2"/>
  <c r="G1085" i="2"/>
  <c r="J1018" i="2"/>
  <c r="I1084" i="2"/>
  <c r="G1084" i="2"/>
  <c r="J1017" i="2"/>
  <c r="I1083" i="2"/>
  <c r="J1016" i="2"/>
  <c r="I1082" i="2"/>
  <c r="G1082" i="2"/>
  <c r="J1015" i="2"/>
  <c r="I1081" i="2"/>
  <c r="H1081" i="2"/>
  <c r="G1081" i="2"/>
  <c r="J1012" i="2"/>
  <c r="G1012" i="2"/>
  <c r="G1078" i="2" s="1"/>
  <c r="J1011" i="2"/>
  <c r="H1011" i="2"/>
  <c r="J1010" i="2"/>
  <c r="G1010" i="2"/>
  <c r="G1076" i="2" s="1"/>
  <c r="J1007" i="2"/>
  <c r="G1007" i="2"/>
  <c r="G1073" i="2" s="1"/>
  <c r="J1006" i="2"/>
  <c r="J1005" i="2"/>
  <c r="G1005" i="2"/>
  <c r="G1071" i="2" s="1"/>
  <c r="J1004" i="2"/>
  <c r="I1005" i="2"/>
  <c r="H1005" i="2"/>
  <c r="G1004" i="2"/>
  <c r="G1070" i="2" s="1"/>
  <c r="B1001" i="2"/>
  <c r="B1052" i="2" s="1"/>
  <c r="J1000" i="2"/>
  <c r="J999" i="2"/>
  <c r="C998" i="2"/>
  <c r="B998" i="2"/>
  <c r="J997" i="2"/>
  <c r="C997" i="2"/>
  <c r="B997" i="2"/>
  <c r="J996" i="2"/>
  <c r="E996" i="2"/>
  <c r="B996" i="2"/>
  <c r="J995" i="2"/>
  <c r="B995" i="2"/>
  <c r="J994" i="2"/>
  <c r="E994" i="2"/>
  <c r="B994" i="2"/>
  <c r="J993" i="2"/>
  <c r="E993" i="2"/>
  <c r="B993" i="2"/>
  <c r="J992" i="2"/>
  <c r="E992" i="2"/>
  <c r="B992" i="2"/>
  <c r="C990" i="2"/>
  <c r="J989" i="2"/>
  <c r="E989" i="2"/>
  <c r="C989" i="2"/>
  <c r="J988" i="2"/>
  <c r="E988" i="2"/>
  <c r="C988" i="2"/>
  <c r="J987" i="2"/>
  <c r="E987" i="2"/>
  <c r="C987" i="2"/>
  <c r="J986" i="2"/>
  <c r="E986" i="2"/>
  <c r="C986" i="2"/>
  <c r="J985" i="2"/>
  <c r="C985" i="2"/>
  <c r="J984" i="2"/>
  <c r="E984" i="2"/>
  <c r="C984" i="2"/>
  <c r="J983" i="2"/>
  <c r="C983" i="2"/>
  <c r="J982" i="2"/>
  <c r="B982" i="2"/>
  <c r="J981" i="2"/>
  <c r="E981" i="2"/>
  <c r="B981" i="2"/>
  <c r="J980" i="2"/>
  <c r="E980" i="2"/>
  <c r="B980" i="2"/>
  <c r="J979" i="2"/>
  <c r="E979" i="2"/>
  <c r="B979" i="2"/>
  <c r="C977" i="2"/>
  <c r="J976" i="2"/>
  <c r="C976" i="2"/>
  <c r="G975" i="2"/>
  <c r="J975" i="2"/>
  <c r="C975" i="2"/>
  <c r="J974" i="2"/>
  <c r="B974" i="2"/>
  <c r="J973" i="2"/>
  <c r="E973" i="2"/>
  <c r="B973" i="2"/>
  <c r="J972" i="2"/>
  <c r="E972" i="2"/>
  <c r="B972" i="2"/>
  <c r="J971" i="2"/>
  <c r="E971" i="2"/>
  <c r="B971" i="2"/>
  <c r="J970" i="2"/>
  <c r="E970" i="2"/>
  <c r="B970" i="2"/>
  <c r="C969" i="2"/>
  <c r="J966" i="2"/>
  <c r="J965" i="2"/>
  <c r="B965" i="2"/>
  <c r="J962" i="2"/>
  <c r="C962" i="2"/>
  <c r="B962" i="2"/>
  <c r="J961" i="2"/>
  <c r="B961" i="2"/>
  <c r="J960" i="2"/>
  <c r="B960" i="2"/>
  <c r="J959" i="2"/>
  <c r="B959" i="2"/>
  <c r="J958" i="2"/>
  <c r="B958" i="2"/>
  <c r="C957" i="2"/>
  <c r="J955" i="2"/>
  <c r="C955" i="2"/>
  <c r="B955" i="2"/>
  <c r="J954" i="2"/>
  <c r="B954" i="2"/>
  <c r="J953" i="2"/>
  <c r="E953" i="2"/>
  <c r="B953" i="2"/>
  <c r="J952" i="2"/>
  <c r="E952" i="2"/>
  <c r="B952" i="2"/>
  <c r="J951" i="2"/>
  <c r="E951" i="2"/>
  <c r="B951" i="2"/>
  <c r="J950" i="2"/>
  <c r="B950" i="2"/>
  <c r="C949" i="2"/>
  <c r="C948" i="2"/>
  <c r="B948" i="2"/>
  <c r="J947" i="2"/>
  <c r="C947" i="2"/>
  <c r="B947" i="2"/>
  <c r="J946" i="2"/>
  <c r="C946" i="2"/>
  <c r="B946" i="2"/>
  <c r="J945" i="2"/>
  <c r="B945" i="2"/>
  <c r="J944" i="2"/>
  <c r="B944" i="2"/>
  <c r="J943" i="2"/>
  <c r="B943" i="2"/>
  <c r="J942" i="2"/>
  <c r="B942" i="2"/>
  <c r="J941" i="2"/>
  <c r="B941" i="2"/>
  <c r="J940" i="2"/>
  <c r="B940" i="2"/>
  <c r="J939" i="2"/>
  <c r="B939" i="2"/>
  <c r="J938" i="2"/>
  <c r="B938" i="2"/>
  <c r="J937" i="2"/>
  <c r="B937" i="2"/>
  <c r="J933" i="2"/>
  <c r="C933" i="2"/>
  <c r="B933" i="2"/>
  <c r="J932" i="2"/>
  <c r="B932" i="2"/>
  <c r="J931" i="2"/>
  <c r="B931" i="2"/>
  <c r="J930" i="2"/>
  <c r="B930" i="2"/>
  <c r="J929" i="2"/>
  <c r="B929" i="2"/>
  <c r="J928" i="2"/>
  <c r="B928" i="2"/>
  <c r="J927" i="2"/>
  <c r="B927" i="2"/>
  <c r="J926" i="2"/>
  <c r="B926" i="2"/>
  <c r="J925" i="2"/>
  <c r="B925" i="2"/>
  <c r="J924" i="2"/>
  <c r="E924" i="2"/>
  <c r="B924" i="2"/>
  <c r="J923" i="2"/>
  <c r="B923" i="2"/>
  <c r="J920" i="2"/>
  <c r="C920" i="2"/>
  <c r="B920" i="2"/>
  <c r="J919" i="2"/>
  <c r="C919" i="2"/>
  <c r="B919" i="2"/>
  <c r="J918" i="2"/>
  <c r="B918" i="2"/>
  <c r="J917" i="2"/>
  <c r="B917" i="2"/>
  <c r="J916" i="2"/>
  <c r="B916" i="2"/>
  <c r="J915" i="2"/>
  <c r="B915" i="2"/>
  <c r="J914" i="2"/>
  <c r="B914" i="2"/>
  <c r="J913" i="2"/>
  <c r="C913" i="2"/>
  <c r="B913" i="2"/>
  <c r="J912" i="2"/>
  <c r="B912" i="2"/>
  <c r="J911" i="2"/>
  <c r="B911" i="2"/>
  <c r="J910" i="2"/>
  <c r="E910" i="2"/>
  <c r="B910" i="2"/>
  <c r="J909" i="2"/>
  <c r="B909" i="2"/>
  <c r="J908" i="2"/>
  <c r="B908" i="2"/>
  <c r="J907" i="2"/>
  <c r="E907" i="2"/>
  <c r="B907" i="2"/>
  <c r="J906" i="2"/>
  <c r="B906" i="2"/>
  <c r="C905" i="2"/>
  <c r="J901" i="2"/>
  <c r="C901" i="2"/>
  <c r="B901" i="2"/>
  <c r="J899" i="2"/>
  <c r="C899" i="2"/>
  <c r="B899" i="2"/>
  <c r="J898" i="2"/>
  <c r="E898" i="2"/>
  <c r="B898" i="2"/>
  <c r="J897" i="2"/>
  <c r="E897" i="2"/>
  <c r="B897" i="2"/>
  <c r="J896" i="2"/>
  <c r="E896" i="2"/>
  <c r="J895" i="2"/>
  <c r="C895" i="2"/>
  <c r="B895" i="2"/>
  <c r="J894" i="2"/>
  <c r="C894" i="2"/>
  <c r="B894" i="2"/>
  <c r="J893" i="2"/>
  <c r="E893" i="2"/>
  <c r="B893" i="2"/>
  <c r="J892" i="2"/>
  <c r="E892" i="2"/>
  <c r="B892" i="2"/>
  <c r="J891" i="2"/>
  <c r="E891" i="2"/>
  <c r="B891" i="2"/>
  <c r="J890" i="2"/>
  <c r="B890" i="2"/>
  <c r="J888" i="2"/>
  <c r="C888" i="2"/>
  <c r="B888" i="2"/>
  <c r="J887" i="2"/>
  <c r="E887" i="2"/>
  <c r="B887" i="2"/>
  <c r="J886" i="2"/>
  <c r="E886" i="2"/>
  <c r="B886" i="2"/>
  <c r="J885" i="2"/>
  <c r="E885" i="2"/>
  <c r="B885" i="2"/>
  <c r="J884" i="2"/>
  <c r="B884" i="2"/>
  <c r="B883" i="2"/>
  <c r="J882" i="2"/>
  <c r="C882" i="2"/>
  <c r="J881" i="2"/>
  <c r="C881" i="2"/>
  <c r="B881" i="2"/>
  <c r="J880" i="2"/>
  <c r="E880" i="2"/>
  <c r="B880" i="2"/>
  <c r="J879" i="2"/>
  <c r="E879" i="2"/>
  <c r="B879" i="2"/>
  <c r="J878" i="2"/>
  <c r="E878" i="2"/>
  <c r="B878" i="2"/>
  <c r="J877" i="2"/>
  <c r="E877" i="2"/>
  <c r="B877" i="2"/>
  <c r="J876" i="2"/>
  <c r="B876" i="2"/>
  <c r="J875" i="2"/>
  <c r="C875" i="2"/>
  <c r="B875" i="2"/>
  <c r="J874" i="2"/>
  <c r="E874" i="2"/>
  <c r="B874" i="2"/>
  <c r="J873" i="2"/>
  <c r="E873" i="2"/>
  <c r="B873" i="2"/>
  <c r="J872" i="2"/>
  <c r="E872" i="2"/>
  <c r="B872" i="2"/>
  <c r="J871" i="2"/>
  <c r="E871" i="2"/>
  <c r="B871" i="2"/>
  <c r="J870" i="2"/>
  <c r="E870" i="2"/>
  <c r="B870" i="2"/>
  <c r="J869" i="2"/>
  <c r="B869" i="2"/>
  <c r="B868" i="2"/>
  <c r="J867" i="2"/>
  <c r="E867" i="2"/>
  <c r="B865" i="2"/>
  <c r="J864" i="2"/>
  <c r="J863" i="2"/>
  <c r="J862" i="2"/>
  <c r="J861" i="2"/>
  <c r="J859" i="2"/>
  <c r="J858" i="2"/>
  <c r="J857" i="2"/>
  <c r="J856" i="2"/>
  <c r="J855" i="2"/>
  <c r="E855" i="2"/>
  <c r="J854" i="2"/>
  <c r="E854" i="2"/>
  <c r="J852" i="2"/>
  <c r="J848" i="2"/>
  <c r="J847" i="2"/>
  <c r="J846" i="2"/>
  <c r="J775" i="2" s="1"/>
  <c r="J843" i="2"/>
  <c r="E843" i="2"/>
  <c r="J842" i="2"/>
  <c r="J840" i="2"/>
  <c r="J839" i="2"/>
  <c r="J838" i="2"/>
  <c r="E838" i="2"/>
  <c r="J837" i="2"/>
  <c r="E837" i="2"/>
  <c r="J835" i="2"/>
  <c r="J833" i="2"/>
  <c r="E831" i="2"/>
  <c r="J829" i="2"/>
  <c r="E829" i="2"/>
  <c r="J827" i="2"/>
  <c r="B825" i="2"/>
  <c r="J823" i="2"/>
  <c r="J821" i="2"/>
  <c r="J820" i="2"/>
  <c r="J817" i="2"/>
  <c r="E817" i="2"/>
  <c r="J816" i="2"/>
  <c r="J814" i="2"/>
  <c r="J813" i="2"/>
  <c r="J812" i="2"/>
  <c r="J811" i="2"/>
  <c r="J810" i="2"/>
  <c r="J809" i="2"/>
  <c r="E809" i="2"/>
  <c r="J808" i="2"/>
  <c r="E808" i="2"/>
  <c r="J806" i="2"/>
  <c r="J804" i="2"/>
  <c r="J803" i="2"/>
  <c r="J802" i="2"/>
  <c r="J801" i="2"/>
  <c r="E799" i="2"/>
  <c r="J797" i="2"/>
  <c r="E797" i="2"/>
  <c r="J795" i="2"/>
  <c r="B793" i="2"/>
  <c r="J789" i="2"/>
  <c r="E787" i="2"/>
  <c r="J786" i="2"/>
  <c r="E786" i="2"/>
  <c r="J783" i="2"/>
  <c r="J781" i="2"/>
  <c r="J780" i="2"/>
  <c r="J779" i="2"/>
  <c r="J777" i="2"/>
  <c r="J773" i="2"/>
  <c r="J771" i="2"/>
  <c r="J770" i="2"/>
  <c r="J769" i="2"/>
  <c r="J764" i="2"/>
  <c r="J762" i="2"/>
  <c r="J761" i="2"/>
  <c r="J760" i="2"/>
  <c r="J758" i="2"/>
  <c r="J757" i="2"/>
  <c r="J756" i="2"/>
  <c r="J753" i="2"/>
  <c r="B751" i="2"/>
  <c r="J750" i="2"/>
  <c r="J749" i="2"/>
  <c r="J748" i="2"/>
  <c r="J747" i="2"/>
  <c r="J744" i="2"/>
  <c r="J740" i="2"/>
  <c r="E740" i="2"/>
  <c r="J738" i="2"/>
  <c r="E736" i="2"/>
  <c r="B733" i="2"/>
  <c r="J730" i="2"/>
  <c r="J728" i="2"/>
  <c r="E728" i="2"/>
  <c r="J727" i="2"/>
  <c r="E727" i="2"/>
  <c r="B725" i="2"/>
  <c r="J722" i="2"/>
  <c r="J720" i="2"/>
  <c r="E720" i="2"/>
  <c r="J718" i="2"/>
  <c r="E718" i="2"/>
  <c r="J717" i="2"/>
  <c r="E717" i="2"/>
  <c r="J716" i="2"/>
  <c r="E716" i="2"/>
  <c r="J713" i="2"/>
  <c r="E713" i="2"/>
  <c r="J710" i="2"/>
  <c r="E710" i="2"/>
  <c r="J709" i="2"/>
  <c r="E709" i="2"/>
  <c r="J706" i="2"/>
  <c r="J704" i="2"/>
  <c r="J703" i="2"/>
  <c r="J702" i="2"/>
  <c r="J701" i="2"/>
  <c r="J700" i="2"/>
  <c r="J699" i="2"/>
  <c r="J698" i="2"/>
  <c r="J697" i="2"/>
  <c r="J693" i="2"/>
  <c r="E693" i="2"/>
  <c r="J692" i="2"/>
  <c r="E692" i="2"/>
  <c r="J691" i="2"/>
  <c r="E691" i="2"/>
  <c r="B687" i="2"/>
  <c r="J685" i="2"/>
  <c r="J683" i="2"/>
  <c r="B683" i="2"/>
  <c r="C682" i="2"/>
  <c r="B682" i="2"/>
  <c r="J681" i="2"/>
  <c r="B681" i="2"/>
  <c r="J680" i="2"/>
  <c r="B680" i="2"/>
  <c r="J679" i="2"/>
  <c r="C679" i="2"/>
  <c r="B679" i="2"/>
  <c r="J678" i="2"/>
  <c r="C678" i="2"/>
  <c r="B678" i="2"/>
  <c r="C676" i="2"/>
  <c r="B676" i="2"/>
  <c r="J675" i="2"/>
  <c r="B675" i="2"/>
  <c r="J674" i="2"/>
  <c r="J672" i="2"/>
  <c r="J671" i="2"/>
  <c r="I671" i="2"/>
  <c r="H671" i="2"/>
  <c r="J669" i="2"/>
  <c r="J668" i="2"/>
  <c r="J667" i="2"/>
  <c r="J666" i="2"/>
  <c r="J665" i="2"/>
  <c r="J664" i="2"/>
  <c r="J663" i="2"/>
  <c r="J662" i="2"/>
  <c r="J661" i="2"/>
  <c r="J660" i="2"/>
  <c r="J659" i="2"/>
  <c r="B658" i="2"/>
  <c r="J655" i="2"/>
  <c r="J654" i="2"/>
  <c r="J653" i="2"/>
  <c r="J652" i="2"/>
  <c r="J651" i="2"/>
  <c r="J650" i="2"/>
  <c r="J649" i="2"/>
  <c r="J648" i="2"/>
  <c r="J647" i="2"/>
  <c r="J646" i="2"/>
  <c r="J645" i="2"/>
  <c r="J644" i="2"/>
  <c r="J643" i="2"/>
  <c r="J640" i="2"/>
  <c r="J639" i="2"/>
  <c r="J638" i="2"/>
  <c r="J637" i="2"/>
  <c r="J636" i="2"/>
  <c r="J635" i="2"/>
  <c r="J634" i="2"/>
  <c r="J633" i="2"/>
  <c r="J630" i="2"/>
  <c r="J629" i="2"/>
  <c r="J628" i="2"/>
  <c r="J627" i="2"/>
  <c r="J626" i="2"/>
  <c r="B624" i="2"/>
  <c r="B623" i="2"/>
  <c r="B656" i="2" s="1"/>
  <c r="J621" i="2"/>
  <c r="J620" i="2"/>
  <c r="J618" i="2"/>
  <c r="J617" i="2"/>
  <c r="B616" i="2"/>
  <c r="B615" i="2"/>
  <c r="J614" i="2"/>
  <c r="J613" i="2"/>
  <c r="E613" i="2"/>
  <c r="J612" i="2"/>
  <c r="E612" i="2"/>
  <c r="J611" i="2"/>
  <c r="E611" i="2"/>
  <c r="J609" i="2"/>
  <c r="J608" i="2"/>
  <c r="E608" i="2"/>
  <c r="J607" i="2"/>
  <c r="E607" i="2"/>
  <c r="J606" i="2"/>
  <c r="E606" i="2"/>
  <c r="J605" i="2"/>
  <c r="E605" i="2"/>
  <c r="J604" i="2"/>
  <c r="J603" i="2"/>
  <c r="E603" i="2"/>
  <c r="J602" i="2"/>
  <c r="E602" i="2"/>
  <c r="J601" i="2"/>
  <c r="E601" i="2"/>
  <c r="J600" i="2"/>
  <c r="E600" i="2"/>
  <c r="J599" i="2"/>
  <c r="E599" i="2"/>
  <c r="J598" i="2"/>
  <c r="E598" i="2"/>
  <c r="J595" i="2"/>
  <c r="E595" i="2"/>
  <c r="J594" i="2"/>
  <c r="E594" i="2"/>
  <c r="J593" i="2"/>
  <c r="E593" i="2"/>
  <c r="J592" i="2"/>
  <c r="E592" i="2"/>
  <c r="J591" i="2"/>
  <c r="E591" i="2"/>
  <c r="J590" i="2"/>
  <c r="E590" i="2"/>
  <c r="J588" i="2"/>
  <c r="J587" i="2"/>
  <c r="E587" i="2"/>
  <c r="J586" i="2"/>
  <c r="J584" i="2"/>
  <c r="E584" i="2"/>
  <c r="J583" i="2"/>
  <c r="E583" i="2"/>
  <c r="J582" i="2"/>
  <c r="E582" i="2"/>
  <c r="J581" i="2"/>
  <c r="E581" i="2"/>
  <c r="J578" i="2"/>
  <c r="J577" i="2"/>
  <c r="E577" i="2"/>
  <c r="J574" i="2"/>
  <c r="J573" i="2"/>
  <c r="J572" i="2"/>
  <c r="E572" i="2"/>
  <c r="J571" i="2"/>
  <c r="J570" i="2"/>
  <c r="E570" i="2"/>
  <c r="J569" i="2"/>
  <c r="E569" i="2"/>
  <c r="J567" i="2"/>
  <c r="J565" i="2"/>
  <c r="J564" i="2"/>
  <c r="J563" i="2"/>
  <c r="E563" i="2"/>
  <c r="J562" i="2"/>
  <c r="E562" i="2"/>
  <c r="J561" i="2"/>
  <c r="E561" i="2"/>
  <c r="J560" i="2"/>
  <c r="J557" i="2"/>
  <c r="J555" i="2"/>
  <c r="J554" i="2"/>
  <c r="J553" i="2"/>
  <c r="J552" i="2"/>
  <c r="J551" i="2"/>
  <c r="J550" i="2"/>
  <c r="J549" i="2"/>
  <c r="J548" i="2"/>
  <c r="J547" i="2"/>
  <c r="J546" i="2"/>
  <c r="B544" i="2"/>
  <c r="J543" i="2"/>
  <c r="J542" i="2"/>
  <c r="J541" i="2"/>
  <c r="J540" i="2"/>
  <c r="J539" i="2"/>
  <c r="J538" i="2"/>
  <c r="J537" i="2"/>
  <c r="J536" i="2"/>
  <c r="J535" i="2"/>
  <c r="J534" i="2"/>
  <c r="E534" i="2"/>
  <c r="J533" i="2"/>
  <c r="B531" i="2"/>
  <c r="J527" i="2"/>
  <c r="J525" i="2"/>
  <c r="J523" i="2"/>
  <c r="J522" i="2"/>
  <c r="J521" i="2"/>
  <c r="J520" i="2"/>
  <c r="J519" i="2"/>
  <c r="J518" i="2"/>
  <c r="J515" i="2"/>
  <c r="J513" i="2"/>
  <c r="J512" i="2"/>
  <c r="J511" i="2"/>
  <c r="E511" i="2"/>
  <c r="J510" i="2"/>
  <c r="J509" i="2"/>
  <c r="J508" i="2"/>
  <c r="E508" i="2"/>
  <c r="J507" i="2"/>
  <c r="B505" i="2"/>
  <c r="J501" i="2"/>
  <c r="J499" i="2"/>
  <c r="J497" i="2"/>
  <c r="J496" i="2"/>
  <c r="E496" i="2"/>
  <c r="J495" i="2"/>
  <c r="E495" i="2"/>
  <c r="J494" i="2"/>
  <c r="E494" i="2"/>
  <c r="J492" i="2"/>
  <c r="E492" i="2"/>
  <c r="J490" i="2"/>
  <c r="J488" i="2"/>
  <c r="J487" i="2"/>
  <c r="E487" i="2"/>
  <c r="J486" i="2"/>
  <c r="E486" i="2"/>
  <c r="J484" i="2"/>
  <c r="J483" i="2"/>
  <c r="E483" i="2"/>
  <c r="J482" i="2"/>
  <c r="J481" i="2"/>
  <c r="E481" i="2"/>
  <c r="B478" i="2"/>
  <c r="J477" i="2"/>
  <c r="J475" i="2"/>
  <c r="J474" i="2"/>
  <c r="J472" i="2"/>
  <c r="J471" i="2"/>
  <c r="E471" i="2"/>
  <c r="J470" i="2"/>
  <c r="E470" i="2"/>
  <c r="J468" i="2"/>
  <c r="E468" i="2"/>
  <c r="J467" i="2"/>
  <c r="J464" i="2"/>
  <c r="B463" i="2"/>
  <c r="J462" i="2"/>
  <c r="E462" i="2"/>
  <c r="J461" i="2"/>
  <c r="E461" i="2"/>
  <c r="J459" i="2"/>
  <c r="J458" i="2"/>
  <c r="E458" i="2"/>
  <c r="J457" i="2"/>
  <c r="E457" i="2"/>
  <c r="J454" i="2"/>
  <c r="J453" i="2"/>
  <c r="E453" i="2"/>
  <c r="J452" i="2"/>
  <c r="E452" i="2"/>
  <c r="J450" i="2"/>
  <c r="J446" i="2"/>
  <c r="J444" i="2"/>
  <c r="J442" i="2"/>
  <c r="J440" i="2"/>
  <c r="J439" i="2"/>
  <c r="E439" i="2"/>
  <c r="J438" i="2"/>
  <c r="E438" i="2"/>
  <c r="J436" i="2"/>
  <c r="E436" i="2"/>
  <c r="J435" i="2"/>
  <c r="E435" i="2"/>
  <c r="J434" i="2"/>
  <c r="J431" i="2"/>
  <c r="J429" i="2"/>
  <c r="E429" i="2"/>
  <c r="J428" i="2"/>
  <c r="E428" i="2"/>
  <c r="J426" i="2"/>
  <c r="J425" i="2"/>
  <c r="E425" i="2"/>
  <c r="J424" i="2"/>
  <c r="E424" i="2"/>
  <c r="J422" i="2"/>
  <c r="E422" i="2"/>
  <c r="J420" i="2"/>
  <c r="J419" i="2"/>
  <c r="E419" i="2"/>
  <c r="J418" i="2"/>
  <c r="E418" i="2"/>
  <c r="J416" i="2"/>
  <c r="J411" i="2"/>
  <c r="J409" i="2"/>
  <c r="J408" i="2"/>
  <c r="E408" i="2"/>
  <c r="J407" i="2"/>
  <c r="J406" i="2"/>
  <c r="E406" i="2"/>
  <c r="J405" i="2"/>
  <c r="E405" i="2"/>
  <c r="J403" i="2"/>
  <c r="J402" i="2"/>
  <c r="E402" i="2"/>
  <c r="J401" i="2"/>
  <c r="E401" i="2"/>
  <c r="J399" i="2"/>
  <c r="E399" i="2"/>
  <c r="J398" i="2"/>
  <c r="E398" i="2"/>
  <c r="J395" i="2"/>
  <c r="J394" i="2"/>
  <c r="J393" i="2"/>
  <c r="E393" i="2"/>
  <c r="J392" i="2"/>
  <c r="J391" i="2"/>
  <c r="E391" i="2"/>
  <c r="J390" i="2"/>
  <c r="E390" i="2"/>
  <c r="J388" i="2"/>
  <c r="J387" i="2"/>
  <c r="E387" i="2"/>
  <c r="J386" i="2"/>
  <c r="E386" i="2"/>
  <c r="J383" i="2"/>
  <c r="E383" i="2"/>
  <c r="J382" i="2"/>
  <c r="E382" i="2"/>
  <c r="B378" i="2"/>
  <c r="J377" i="2"/>
  <c r="J375" i="2"/>
  <c r="J373" i="2"/>
  <c r="J372" i="2"/>
  <c r="E372" i="2"/>
  <c r="J371" i="2"/>
  <c r="J370" i="2"/>
  <c r="E370" i="2"/>
  <c r="J369" i="2"/>
  <c r="E369" i="2"/>
  <c r="J368" i="2"/>
  <c r="E368" i="2"/>
  <c r="J367" i="2"/>
  <c r="I367" i="2"/>
  <c r="H367" i="2"/>
  <c r="E367" i="2"/>
  <c r="J366" i="2"/>
  <c r="J365" i="2"/>
  <c r="J364" i="2"/>
  <c r="E364" i="2"/>
  <c r="E363" i="2"/>
  <c r="J362" i="2"/>
  <c r="E362" i="2"/>
  <c r="J359" i="2"/>
  <c r="J358" i="2"/>
  <c r="E358" i="2"/>
  <c r="J357" i="2"/>
  <c r="J356" i="2"/>
  <c r="E356" i="2"/>
  <c r="J355" i="2"/>
  <c r="J354" i="2"/>
  <c r="E354" i="2"/>
  <c r="J353" i="2"/>
  <c r="J352" i="2"/>
  <c r="E352" i="2"/>
  <c r="J351" i="2"/>
  <c r="E351" i="2"/>
  <c r="J350" i="2"/>
  <c r="J347" i="2"/>
  <c r="E347" i="2"/>
  <c r="J345" i="2"/>
  <c r="J344" i="2"/>
  <c r="E344" i="2"/>
  <c r="J343" i="2"/>
  <c r="E343" i="2"/>
  <c r="J340" i="2"/>
  <c r="J337" i="2"/>
  <c r="J336" i="2"/>
  <c r="E336" i="2"/>
  <c r="J335" i="2"/>
  <c r="E335" i="2"/>
  <c r="J334" i="2"/>
  <c r="E334" i="2"/>
  <c r="B331" i="2"/>
  <c r="J328" i="2"/>
  <c r="J327" i="2"/>
  <c r="E327" i="2"/>
  <c r="J326" i="2"/>
  <c r="E326" i="2"/>
  <c r="J325" i="2"/>
  <c r="E325" i="2"/>
  <c r="J322" i="2"/>
  <c r="J321" i="2"/>
  <c r="E321" i="2"/>
  <c r="J320" i="2"/>
  <c r="E320" i="2"/>
  <c r="J319" i="2"/>
  <c r="E319" i="2"/>
  <c r="J318" i="2"/>
  <c r="J317" i="2"/>
  <c r="E317" i="2"/>
  <c r="J316" i="2"/>
  <c r="E316" i="2"/>
  <c r="J315" i="2"/>
  <c r="E315" i="2"/>
  <c r="J314" i="2"/>
  <c r="E314" i="2"/>
  <c r="J313" i="2"/>
  <c r="E313" i="2"/>
  <c r="J312" i="2"/>
  <c r="E312" i="2"/>
  <c r="J311" i="2"/>
  <c r="E311" i="2"/>
  <c r="J310" i="2"/>
  <c r="E310" i="2"/>
  <c r="J309" i="2"/>
  <c r="E309" i="2"/>
  <c r="J307" i="2"/>
  <c r="J306" i="2"/>
  <c r="E306" i="2"/>
  <c r="J305" i="2"/>
  <c r="E305" i="2"/>
  <c r="J301" i="2"/>
  <c r="E301" i="2"/>
  <c r="J299" i="2"/>
  <c r="J298" i="2"/>
  <c r="J297" i="2"/>
  <c r="J296" i="2"/>
  <c r="J295" i="2"/>
  <c r="J294" i="2"/>
  <c r="J293" i="2"/>
  <c r="J292" i="2"/>
  <c r="J291" i="2"/>
  <c r="J288" i="2"/>
  <c r="J285" i="2"/>
  <c r="J283" i="2"/>
  <c r="J281" i="2"/>
  <c r="J280" i="2"/>
  <c r="J279" i="2"/>
  <c r="E279" i="2"/>
  <c r="J278" i="2"/>
  <c r="J277" i="2"/>
  <c r="J276" i="2"/>
  <c r="J275" i="2"/>
  <c r="E275" i="2"/>
  <c r="J274" i="2"/>
  <c r="J272" i="2"/>
  <c r="J271" i="2"/>
  <c r="J270" i="2"/>
  <c r="J269" i="2"/>
  <c r="J268" i="2"/>
  <c r="J266" i="2"/>
  <c r="E266" i="2"/>
  <c r="J263" i="2"/>
  <c r="J261" i="2"/>
  <c r="J260" i="2"/>
  <c r="E260" i="2"/>
  <c r="J259" i="2"/>
  <c r="E259" i="2"/>
  <c r="J258" i="2"/>
  <c r="E258" i="2"/>
  <c r="J257" i="2"/>
  <c r="E256" i="2"/>
  <c r="E255" i="2"/>
  <c r="J251" i="2"/>
  <c r="J250" i="2"/>
  <c r="E250" i="2"/>
  <c r="J249" i="2"/>
  <c r="E249" i="2"/>
  <c r="J246" i="2"/>
  <c r="B245" i="2"/>
  <c r="B244" i="2"/>
  <c r="B286" i="2" s="1"/>
  <c r="J242" i="2"/>
  <c r="J239" i="2"/>
  <c r="J237" i="2"/>
  <c r="J236" i="2"/>
  <c r="J233" i="2"/>
  <c r="J232" i="2"/>
  <c r="J230" i="2"/>
  <c r="J229" i="2"/>
  <c r="J227" i="2"/>
  <c r="J226" i="2"/>
  <c r="J225" i="2"/>
  <c r="J224" i="2"/>
  <c r="J223" i="2"/>
  <c r="J222" i="2"/>
  <c r="J221" i="2"/>
  <c r="J220" i="2"/>
  <c r="J219" i="2"/>
  <c r="J218" i="2"/>
  <c r="J217" i="2"/>
  <c r="B215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7" i="2"/>
  <c r="J196" i="2"/>
  <c r="J195" i="2"/>
  <c r="J194" i="2"/>
  <c r="J193" i="2"/>
  <c r="J192" i="2"/>
  <c r="J191" i="2"/>
  <c r="J190" i="2"/>
  <c r="J187" i="2"/>
  <c r="J186" i="2"/>
  <c r="J185" i="2"/>
  <c r="J184" i="2"/>
  <c r="J183" i="2"/>
  <c r="B180" i="2"/>
  <c r="B214" i="2" s="1"/>
  <c r="J178" i="2"/>
  <c r="J176" i="2"/>
  <c r="J174" i="2"/>
  <c r="E174" i="2"/>
  <c r="J173" i="2"/>
  <c r="E173" i="2"/>
  <c r="J172" i="2"/>
  <c r="E172" i="2"/>
  <c r="J171" i="2"/>
  <c r="E171" i="2"/>
  <c r="J170" i="2"/>
  <c r="E170" i="2"/>
  <c r="J169" i="2"/>
  <c r="E169" i="2"/>
  <c r="J168" i="2"/>
  <c r="E168" i="2"/>
  <c r="J167" i="2"/>
  <c r="E167" i="2"/>
  <c r="J166" i="2"/>
  <c r="E166" i="2"/>
  <c r="J165" i="2"/>
  <c r="E165" i="2"/>
  <c r="J162" i="2"/>
  <c r="J160" i="2"/>
  <c r="E160" i="2"/>
  <c r="J159" i="2"/>
  <c r="E159" i="2"/>
  <c r="J158" i="2"/>
  <c r="E158" i="2"/>
  <c r="J157" i="2"/>
  <c r="E157" i="2"/>
  <c r="J156" i="2"/>
  <c r="E156" i="2"/>
  <c r="J155" i="2"/>
  <c r="E155" i="2"/>
  <c r="J154" i="2"/>
  <c r="E154" i="2"/>
  <c r="J153" i="2"/>
  <c r="E153" i="2"/>
  <c r="J152" i="2"/>
  <c r="E152" i="2"/>
  <c r="J151" i="2"/>
  <c r="E151" i="2"/>
  <c r="J150" i="2"/>
  <c r="E150" i="2"/>
  <c r="J149" i="2"/>
  <c r="E149" i="2"/>
  <c r="B146" i="2"/>
  <c r="J144" i="2"/>
  <c r="J142" i="2"/>
  <c r="J141" i="2"/>
  <c r="I141" i="2"/>
  <c r="H141" i="2"/>
  <c r="E141" i="2"/>
  <c r="J140" i="2"/>
  <c r="E140" i="2"/>
  <c r="J137" i="2"/>
  <c r="J136" i="2"/>
  <c r="E136" i="2"/>
  <c r="J135" i="2"/>
  <c r="E135" i="2"/>
  <c r="J132" i="2"/>
  <c r="J131" i="2"/>
  <c r="E131" i="2"/>
  <c r="J130" i="2"/>
  <c r="E130" i="2"/>
  <c r="J127" i="2"/>
  <c r="J126" i="2"/>
  <c r="I126" i="2"/>
  <c r="H126" i="2"/>
  <c r="E126" i="2"/>
  <c r="J125" i="2"/>
  <c r="E125" i="2"/>
  <c r="B123" i="2"/>
  <c r="J121" i="2"/>
  <c r="J120" i="2"/>
  <c r="E120" i="2"/>
  <c r="J119" i="2"/>
  <c r="E119" i="2"/>
  <c r="J116" i="2"/>
  <c r="J115" i="2"/>
  <c r="E115" i="2"/>
  <c r="J114" i="2"/>
  <c r="E114" i="2"/>
  <c r="J111" i="2"/>
  <c r="J110" i="2"/>
  <c r="I110" i="2"/>
  <c r="H110" i="2"/>
  <c r="E110" i="2"/>
  <c r="J109" i="2"/>
  <c r="E109" i="2"/>
  <c r="J105" i="2"/>
  <c r="J103" i="2"/>
  <c r="E103" i="2"/>
  <c r="J102" i="2"/>
  <c r="E102" i="2"/>
  <c r="J101" i="2"/>
  <c r="E101" i="2"/>
  <c r="J100" i="2"/>
  <c r="E100" i="2"/>
  <c r="J97" i="2"/>
  <c r="J95" i="2"/>
  <c r="E95" i="2"/>
  <c r="J94" i="2"/>
  <c r="E94" i="2"/>
  <c r="J93" i="2"/>
  <c r="E93" i="2"/>
  <c r="B91" i="2"/>
  <c r="B90" i="2"/>
  <c r="B122" i="2" s="1"/>
  <c r="B145" i="2" s="1"/>
  <c r="B89" i="2"/>
  <c r="B88" i="2"/>
  <c r="B87" i="2"/>
  <c r="B86" i="2"/>
  <c r="B85" i="2"/>
  <c r="B84" i="2"/>
  <c r="B83" i="2"/>
  <c r="B82" i="2"/>
  <c r="I81" i="2"/>
  <c r="H81" i="2"/>
  <c r="B81" i="2"/>
  <c r="I78" i="2"/>
  <c r="B77" i="2"/>
  <c r="B76" i="2"/>
  <c r="B75" i="2"/>
  <c r="I74" i="2"/>
  <c r="B74" i="2"/>
  <c r="B72" i="2"/>
  <c r="C71" i="2"/>
  <c r="B71" i="2"/>
  <c r="C70" i="2"/>
  <c r="B70" i="2"/>
  <c r="C68" i="2"/>
  <c r="B68" i="2"/>
  <c r="C67" i="2"/>
  <c r="B67" i="2"/>
  <c r="C66" i="2"/>
  <c r="B66" i="2"/>
  <c r="C65" i="2"/>
  <c r="B65" i="2"/>
  <c r="C64" i="2"/>
  <c r="B64" i="2"/>
  <c r="C63" i="2"/>
  <c r="B63" i="2"/>
  <c r="C62" i="2"/>
  <c r="B62" i="2"/>
  <c r="C61" i="2"/>
  <c r="B61" i="2"/>
  <c r="C60" i="2"/>
  <c r="C59" i="2"/>
  <c r="B59" i="2"/>
  <c r="C58" i="2"/>
  <c r="B58" i="2"/>
  <c r="C57" i="2"/>
  <c r="B57" i="2"/>
  <c r="C56" i="2"/>
  <c r="B56" i="2"/>
  <c r="C55" i="2"/>
  <c r="B55" i="2"/>
  <c r="C54" i="2"/>
  <c r="B54" i="2"/>
  <c r="C53" i="2"/>
  <c r="B53" i="2"/>
  <c r="B51" i="2"/>
  <c r="B49" i="2"/>
  <c r="E44" i="2"/>
  <c r="B27" i="2"/>
  <c r="B10" i="2"/>
  <c r="B9" i="2"/>
  <c r="B48" i="2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B2" i="2"/>
  <c r="A2" i="2"/>
  <c r="G996" i="2"/>
  <c r="G995" i="2"/>
  <c r="G994" i="2"/>
  <c r="G993" i="2"/>
  <c r="G992" i="2"/>
  <c r="G989" i="2"/>
  <c r="G988" i="2"/>
  <c r="G987" i="2"/>
  <c r="I987" i="2" s="1"/>
  <c r="G986" i="2"/>
  <c r="I986" i="2" s="1"/>
  <c r="G985" i="2"/>
  <c r="G984" i="2"/>
  <c r="G981" i="2"/>
  <c r="G980" i="2"/>
  <c r="G979" i="2"/>
  <c r="G976" i="2"/>
  <c r="G973" i="2"/>
  <c r="G972" i="2"/>
  <c r="G971" i="2"/>
  <c r="G970" i="2"/>
  <c r="G965" i="2"/>
  <c r="G966" i="2" s="1"/>
  <c r="G961" i="2"/>
  <c r="G960" i="2"/>
  <c r="G959" i="2"/>
  <c r="G958" i="2"/>
  <c r="G954" i="2"/>
  <c r="G953" i="2"/>
  <c r="G952" i="2"/>
  <c r="G951" i="2"/>
  <c r="G950" i="2"/>
  <c r="G945" i="2"/>
  <c r="G944" i="2"/>
  <c r="G943" i="2"/>
  <c r="G942" i="2"/>
  <c r="G941" i="2"/>
  <c r="G940" i="2"/>
  <c r="G939" i="2"/>
  <c r="G938" i="2"/>
  <c r="G932" i="2"/>
  <c r="G931" i="2"/>
  <c r="G930" i="2"/>
  <c r="G929" i="2"/>
  <c r="G928" i="2"/>
  <c r="G927" i="2"/>
  <c r="G926" i="2"/>
  <c r="G925" i="2"/>
  <c r="G924" i="2"/>
  <c r="G923" i="2"/>
  <c r="G918" i="2"/>
  <c r="G917" i="2"/>
  <c r="G916" i="2"/>
  <c r="G915" i="2"/>
  <c r="G914" i="2"/>
  <c r="G919" i="2" s="1"/>
  <c r="G912" i="2"/>
  <c r="G911" i="2"/>
  <c r="G910" i="2"/>
  <c r="G909" i="2"/>
  <c r="G908" i="2"/>
  <c r="G906" i="2"/>
  <c r="G898" i="2"/>
  <c r="G897" i="2"/>
  <c r="G896" i="2"/>
  <c r="G893" i="2"/>
  <c r="G892" i="2"/>
  <c r="G891" i="2"/>
  <c r="G890" i="2"/>
  <c r="G887" i="2"/>
  <c r="G885" i="2"/>
  <c r="G884" i="2"/>
  <c r="G880" i="2"/>
  <c r="G879" i="2"/>
  <c r="G878" i="2"/>
  <c r="G877" i="2"/>
  <c r="G876" i="2"/>
  <c r="G874" i="2"/>
  <c r="G873" i="2"/>
  <c r="G872" i="2"/>
  <c r="G871" i="2"/>
  <c r="G870" i="2"/>
  <c r="G869" i="2"/>
  <c r="G867" i="2"/>
  <c r="G856" i="2"/>
  <c r="G838" i="2"/>
  <c r="G817" i="2"/>
  <c r="G810" i="2"/>
  <c r="G808" i="2"/>
  <c r="G764" i="2"/>
  <c r="G740" i="2"/>
  <c r="G39" i="2" s="1"/>
  <c r="G64" i="2" s="1"/>
  <c r="G728" i="2"/>
  <c r="G720" i="2"/>
  <c r="G718" i="2"/>
  <c r="G717" i="2"/>
  <c r="G713" i="2"/>
  <c r="G710" i="2"/>
  <c r="G709" i="2"/>
  <c r="G706" i="2"/>
  <c r="G703" i="2"/>
  <c r="G702" i="2"/>
  <c r="G701" i="2"/>
  <c r="G700" i="2"/>
  <c r="G699" i="2"/>
  <c r="G698" i="2"/>
  <c r="G693" i="2"/>
  <c r="G685" i="2"/>
  <c r="G680" i="2"/>
  <c r="G679" i="2"/>
  <c r="G674" i="2"/>
  <c r="G671" i="2"/>
  <c r="G668" i="2"/>
  <c r="G667" i="2"/>
  <c r="G666" i="2"/>
  <c r="G665" i="2"/>
  <c r="G664" i="2"/>
  <c r="G663" i="2"/>
  <c r="G662" i="2"/>
  <c r="G660" i="2"/>
  <c r="G659" i="2"/>
  <c r="G654" i="2"/>
  <c r="G653" i="2"/>
  <c r="G651" i="2"/>
  <c r="G650" i="2"/>
  <c r="G649" i="2"/>
  <c r="G648" i="2"/>
  <c r="G647" i="2"/>
  <c r="G646" i="2"/>
  <c r="G645" i="2"/>
  <c r="G644" i="2"/>
  <c r="G643" i="2"/>
  <c r="G639" i="2"/>
  <c r="G638" i="2"/>
  <c r="G637" i="2"/>
  <c r="G636" i="2"/>
  <c r="G634" i="2"/>
  <c r="G628" i="2"/>
  <c r="G627" i="2"/>
  <c r="G620" i="2"/>
  <c r="G617" i="2"/>
  <c r="G614" i="2"/>
  <c r="G613" i="2"/>
  <c r="G611" i="2"/>
  <c r="G608" i="2"/>
  <c r="G607" i="2"/>
  <c r="G606" i="2"/>
  <c r="G605" i="2"/>
  <c r="G604" i="2"/>
  <c r="G603" i="2"/>
  <c r="G602" i="2"/>
  <c r="G601" i="2"/>
  <c r="G600" i="2"/>
  <c r="G599" i="2"/>
  <c r="G595" i="2"/>
  <c r="G594" i="2"/>
  <c r="G593" i="2"/>
  <c r="G592" i="2"/>
  <c r="G591" i="2"/>
  <c r="G590" i="2"/>
  <c r="G584" i="2"/>
  <c r="G583" i="2"/>
  <c r="G582" i="2"/>
  <c r="G581" i="2"/>
  <c r="G573" i="2"/>
  <c r="G572" i="2"/>
  <c r="G564" i="2"/>
  <c r="G563" i="2"/>
  <c r="G562" i="2"/>
  <c r="G561" i="2"/>
  <c r="G560" i="2"/>
  <c r="G554" i="2"/>
  <c r="G553" i="2"/>
  <c r="G552" i="2"/>
  <c r="G550" i="2"/>
  <c r="G549" i="2"/>
  <c r="G542" i="2"/>
  <c r="G541" i="2"/>
  <c r="G540" i="2"/>
  <c r="G538" i="2"/>
  <c r="G537" i="2"/>
  <c r="G536" i="2"/>
  <c r="G534" i="2"/>
  <c r="G533" i="2"/>
  <c r="G523" i="2"/>
  <c r="G522" i="2"/>
  <c r="G521" i="2"/>
  <c r="G519" i="2"/>
  <c r="G513" i="2"/>
  <c r="G512" i="2"/>
  <c r="G510" i="2"/>
  <c r="G508" i="2"/>
  <c r="G496" i="2"/>
  <c r="G495" i="2"/>
  <c r="G494" i="2"/>
  <c r="G492" i="2"/>
  <c r="G487" i="2"/>
  <c r="G482" i="2"/>
  <c r="G481" i="2"/>
  <c r="G474" i="2"/>
  <c r="G468" i="2"/>
  <c r="G467" i="2"/>
  <c r="G462" i="2"/>
  <c r="G461" i="2"/>
  <c r="G452" i="2"/>
  <c r="G450" i="2"/>
  <c r="G442" i="2"/>
  <c r="G436" i="2"/>
  <c r="G434" i="2"/>
  <c r="G429" i="2"/>
  <c r="G428" i="2"/>
  <c r="G419" i="2"/>
  <c r="G408" i="2"/>
  <c r="G406" i="2"/>
  <c r="G402" i="2"/>
  <c r="G399" i="2"/>
  <c r="G394" i="2"/>
  <c r="G393" i="2"/>
  <c r="G391" i="2"/>
  <c r="G390" i="2"/>
  <c r="G382" i="2"/>
  <c r="G372" i="2"/>
  <c r="G371" i="2"/>
  <c r="G370" i="2"/>
  <c r="G368" i="2"/>
  <c r="G366" i="2"/>
  <c r="G365" i="2"/>
  <c r="G364" i="2"/>
  <c r="G363" i="2"/>
  <c r="G357" i="2"/>
  <c r="G355" i="2"/>
  <c r="G354" i="2"/>
  <c r="G353" i="2"/>
  <c r="G351" i="2"/>
  <c r="G344" i="2"/>
  <c r="G335" i="2"/>
  <c r="G327" i="2"/>
  <c r="G326" i="2"/>
  <c r="G325" i="2"/>
  <c r="G321" i="2"/>
  <c r="G320" i="2"/>
  <c r="G319" i="2"/>
  <c r="G317" i="2"/>
  <c r="G315" i="2"/>
  <c r="G314" i="2"/>
  <c r="G313" i="2"/>
  <c r="G312" i="2"/>
  <c r="G311" i="2"/>
  <c r="G310" i="2"/>
  <c r="G305" i="2"/>
  <c r="G295" i="2"/>
  <c r="G294" i="2"/>
  <c r="G292" i="2"/>
  <c r="G281" i="2"/>
  <c r="G279" i="2"/>
  <c r="G278" i="2"/>
  <c r="G277" i="2"/>
  <c r="G276" i="2"/>
  <c r="G275" i="2"/>
  <c r="G270" i="2"/>
  <c r="G269" i="2"/>
  <c r="G266" i="2"/>
  <c r="G260" i="2"/>
  <c r="G258" i="2"/>
  <c r="G250" i="2"/>
  <c r="G249" i="2"/>
  <c r="G237" i="2"/>
  <c r="G232" i="2"/>
  <c r="G226" i="2"/>
  <c r="G225" i="2"/>
  <c r="G224" i="2"/>
  <c r="G223" i="2"/>
  <c r="G221" i="2"/>
  <c r="G220" i="2"/>
  <c r="G219" i="2"/>
  <c r="G218" i="2"/>
  <c r="G217" i="2"/>
  <c r="G211" i="2"/>
  <c r="G210" i="2"/>
  <c r="G209" i="2"/>
  <c r="G208" i="2"/>
  <c r="G207" i="2"/>
  <c r="G206" i="2"/>
  <c r="G205" i="2"/>
  <c r="G204" i="2"/>
  <c r="G203" i="2"/>
  <c r="G202" i="2"/>
  <c r="G201" i="2"/>
  <c r="G196" i="2"/>
  <c r="G195" i="2"/>
  <c r="G194" i="2"/>
  <c r="G193" i="2"/>
  <c r="G190" i="2"/>
  <c r="G185" i="2"/>
  <c r="G184" i="2"/>
  <c r="G174" i="2"/>
  <c r="G173" i="2"/>
  <c r="G172" i="2"/>
  <c r="G171" i="2"/>
  <c r="G170" i="2"/>
  <c r="G169" i="2"/>
  <c r="G168" i="2"/>
  <c r="G167" i="2"/>
  <c r="G166" i="2"/>
  <c r="G165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1" i="2"/>
  <c r="G140" i="2"/>
  <c r="G136" i="2"/>
  <c r="G131" i="2"/>
  <c r="G126" i="2"/>
  <c r="G120" i="2"/>
  <c r="G119" i="2"/>
  <c r="G115" i="2"/>
  <c r="G110" i="2"/>
  <c r="G103" i="2"/>
  <c r="G102" i="2"/>
  <c r="G101" i="2"/>
  <c r="G95" i="2"/>
  <c r="G94" i="2"/>
  <c r="J766" i="2" l="1"/>
  <c r="G565" i="2"/>
  <c r="G386" i="2"/>
  <c r="G236" i="2"/>
  <c r="G239" i="2" s="1"/>
  <c r="G548" i="2"/>
  <c r="G186" i="2"/>
  <c r="G509" i="2"/>
  <c r="G192" i="2"/>
  <c r="G933" i="2"/>
  <c r="G518" i="2"/>
  <c r="G130" i="2"/>
  <c r="H136" i="2"/>
  <c r="I136" i="2"/>
  <c r="G142" i="2"/>
  <c r="I140" i="2"/>
  <c r="I142" i="2" s="1"/>
  <c r="H140" i="2"/>
  <c r="H142" i="2" s="1"/>
  <c r="G274" i="2"/>
  <c r="G280" i="2" s="1"/>
  <c r="G125" i="2"/>
  <c r="I131" i="2"/>
  <c r="H131" i="2"/>
  <c r="H159" i="2"/>
  <c r="H210" i="2" s="1"/>
  <c r="I159" i="2"/>
  <c r="I930" i="2" s="1"/>
  <c r="H538" i="2"/>
  <c r="H160" i="2"/>
  <c r="H928" i="2" s="1"/>
  <c r="I160" i="2"/>
  <c r="I552" i="2" s="1"/>
  <c r="I370" i="2"/>
  <c r="H370" i="2"/>
  <c r="H408" i="2"/>
  <c r="I408" i="2"/>
  <c r="I120" i="2"/>
  <c r="H120" i="2"/>
  <c r="I149" i="2"/>
  <c r="I643" i="2" s="1"/>
  <c r="H149" i="2"/>
  <c r="H643" i="2" s="1"/>
  <c r="G162" i="2"/>
  <c r="H938" i="2"/>
  <c r="H201" i="2"/>
  <c r="H150" i="2"/>
  <c r="H644" i="2" s="1"/>
  <c r="I150" i="2"/>
  <c r="I938" i="2" s="1"/>
  <c r="I151" i="2"/>
  <c r="I925" i="2" s="1"/>
  <c r="H151" i="2"/>
  <c r="H939" i="2" s="1"/>
  <c r="I152" i="2"/>
  <c r="I355" i="2" s="1"/>
  <c r="H152" i="2"/>
  <c r="I153" i="2"/>
  <c r="I647" i="2" s="1"/>
  <c r="H153" i="2"/>
  <c r="H154" i="2"/>
  <c r="H648" i="2" s="1"/>
  <c r="I154" i="2"/>
  <c r="I205" i="2" s="1"/>
  <c r="H206" i="2"/>
  <c r="H155" i="2"/>
  <c r="I155" i="2"/>
  <c r="I649" i="2" s="1"/>
  <c r="H156" i="2"/>
  <c r="H942" i="2" s="1"/>
  <c r="I156" i="2"/>
  <c r="I207" i="2" s="1"/>
  <c r="H651" i="2"/>
  <c r="I157" i="2"/>
  <c r="I208" i="2" s="1"/>
  <c r="H157" i="2"/>
  <c r="H208" i="2" s="1"/>
  <c r="H944" i="2"/>
  <c r="H158" i="2"/>
  <c r="H553" i="2" s="1"/>
  <c r="H209" i="2"/>
  <c r="I158" i="2"/>
  <c r="I944" i="2" s="1"/>
  <c r="G251" i="2"/>
  <c r="I249" i="2"/>
  <c r="H249" i="2"/>
  <c r="I250" i="2"/>
  <c r="H250" i="2"/>
  <c r="H281" i="2"/>
  <c r="G340" i="2"/>
  <c r="G362" i="2"/>
  <c r="H266" i="2"/>
  <c r="I266" i="2"/>
  <c r="G291" i="2"/>
  <c r="I291" i="2" s="1"/>
  <c r="I310" i="2"/>
  <c r="H310" i="2"/>
  <c r="I311" i="2"/>
  <c r="H311" i="2"/>
  <c r="H312" i="2"/>
  <c r="I312" i="2"/>
  <c r="I313" i="2"/>
  <c r="H313" i="2"/>
  <c r="I335" i="2"/>
  <c r="H335" i="2"/>
  <c r="I442" i="2"/>
  <c r="I101" i="2"/>
  <c r="I627" i="2" s="1"/>
  <c r="H101" i="2"/>
  <c r="H357" i="2" s="1"/>
  <c r="I184" i="2"/>
  <c r="G176" i="2"/>
  <c r="G229" i="2"/>
  <c r="I275" i="2"/>
  <c r="H275" i="2"/>
  <c r="I314" i="2"/>
  <c r="H314" i="2"/>
  <c r="I315" i="2"/>
  <c r="H315" i="2"/>
  <c r="I317" i="2"/>
  <c r="H317" i="2"/>
  <c r="H364" i="2"/>
  <c r="I364" i="2"/>
  <c r="I102" i="2"/>
  <c r="I628" i="2" s="1"/>
  <c r="H102" i="2"/>
  <c r="H628" i="2" s="1"/>
  <c r="G121" i="2"/>
  <c r="I119" i="2"/>
  <c r="I121" i="2" s="1"/>
  <c r="H119" i="2"/>
  <c r="H121" i="2" s="1"/>
  <c r="I94" i="2"/>
  <c r="H94" i="2"/>
  <c r="H474" i="2"/>
  <c r="H186" i="2"/>
  <c r="I103" i="2"/>
  <c r="H103" i="2"/>
  <c r="I115" i="2"/>
  <c r="H115" i="2"/>
  <c r="G135" i="2"/>
  <c r="H305" i="2"/>
  <c r="I305" i="2"/>
  <c r="I319" i="2"/>
  <c r="H319" i="2"/>
  <c r="I320" i="2"/>
  <c r="H320" i="2"/>
  <c r="H321" i="2"/>
  <c r="I321" i="2"/>
  <c r="I325" i="2"/>
  <c r="G328" i="2"/>
  <c r="H325" i="2"/>
  <c r="H326" i="2"/>
  <c r="I326" i="2"/>
  <c r="I327" i="2"/>
  <c r="H327" i="2"/>
  <c r="G334" i="2"/>
  <c r="H351" i="2"/>
  <c r="I351" i="2"/>
  <c r="G93" i="2"/>
  <c r="G97" i="2" s="1"/>
  <c r="G255" i="2"/>
  <c r="G271" i="2"/>
  <c r="G336" i="2"/>
  <c r="H354" i="2"/>
  <c r="I354" i="2"/>
  <c r="G401" i="2"/>
  <c r="I429" i="2"/>
  <c r="H429" i="2"/>
  <c r="I461" i="2"/>
  <c r="H461" i="2"/>
  <c r="I487" i="2"/>
  <c r="H487" i="2"/>
  <c r="H495" i="2"/>
  <c r="I495" i="2"/>
  <c r="G298" i="2"/>
  <c r="G309" i="2"/>
  <c r="G352" i="2"/>
  <c r="H368" i="2"/>
  <c r="I368" i="2"/>
  <c r="I393" i="2"/>
  <c r="H393" i="2"/>
  <c r="H402" i="2"/>
  <c r="I402" i="2"/>
  <c r="G416" i="2"/>
  <c r="I419" i="2"/>
  <c r="H419" i="2"/>
  <c r="G435" i="2"/>
  <c r="H436" i="2"/>
  <c r="I436" i="2"/>
  <c r="G453" i="2"/>
  <c r="G454" i="2" s="1"/>
  <c r="I462" i="2"/>
  <c r="H462" i="2"/>
  <c r="G470" i="2"/>
  <c r="I494" i="2"/>
  <c r="G497" i="2"/>
  <c r="H494" i="2"/>
  <c r="G316" i="2"/>
  <c r="G356" i="2"/>
  <c r="G418" i="2"/>
  <c r="G439" i="2"/>
  <c r="I496" i="2"/>
  <c r="H496" i="2"/>
  <c r="G222" i="2"/>
  <c r="G227" i="2" s="1"/>
  <c r="G296" i="2"/>
  <c r="I296" i="2" s="1"/>
  <c r="G306" i="2"/>
  <c r="I344" i="2"/>
  <c r="H344" i="2"/>
  <c r="G347" i="2"/>
  <c r="H363" i="2"/>
  <c r="I363" i="2"/>
  <c r="I382" i="2"/>
  <c r="H382" i="2"/>
  <c r="G383" i="2"/>
  <c r="G392" i="2"/>
  <c r="I390" i="2"/>
  <c r="H390" i="2"/>
  <c r="G268" i="2"/>
  <c r="G293" i="2"/>
  <c r="G369" i="2"/>
  <c r="G256" i="2"/>
  <c r="H468" i="2"/>
  <c r="I468" i="2"/>
  <c r="G259" i="2"/>
  <c r="G297" i="2"/>
  <c r="G301" i="2"/>
  <c r="G358" i="2"/>
  <c r="G367" i="2"/>
  <c r="I386" i="2"/>
  <c r="H386" i="2"/>
  <c r="I391" i="2"/>
  <c r="H391" i="2"/>
  <c r="G398" i="2"/>
  <c r="G405" i="2"/>
  <c r="H452" i="2"/>
  <c r="I452" i="2"/>
  <c r="H534" i="2"/>
  <c r="I534" i="2"/>
  <c r="G200" i="2"/>
  <c r="G212" i="2" s="1"/>
  <c r="I399" i="2"/>
  <c r="H399" i="2"/>
  <c r="I406" i="2"/>
  <c r="H406" i="2"/>
  <c r="G422" i="2"/>
  <c r="G425" i="2"/>
  <c r="H428" i="2"/>
  <c r="I428" i="2"/>
  <c r="G551" i="2"/>
  <c r="G569" i="2"/>
  <c r="G511" i="2"/>
  <c r="G520" i="2"/>
  <c r="G525" i="2" s="1"/>
  <c r="G535" i="2"/>
  <c r="I535" i="2" s="1"/>
  <c r="G586" i="2"/>
  <c r="G546" i="2"/>
  <c r="I592" i="2"/>
  <c r="H592" i="2"/>
  <c r="H593" i="2"/>
  <c r="I593" i="2"/>
  <c r="I594" i="2"/>
  <c r="H594" i="2"/>
  <c r="I601" i="2"/>
  <c r="H601" i="2"/>
  <c r="G547" i="2"/>
  <c r="H547" i="2" s="1"/>
  <c r="I561" i="2"/>
  <c r="H561" i="2"/>
  <c r="I599" i="2"/>
  <c r="H599" i="2"/>
  <c r="H600" i="2"/>
  <c r="I600" i="2"/>
  <c r="H481" i="2"/>
  <c r="I481" i="2"/>
  <c r="I562" i="2"/>
  <c r="H562" i="2"/>
  <c r="I563" i="2"/>
  <c r="H563" i="2"/>
  <c r="I595" i="2"/>
  <c r="H595" i="2"/>
  <c r="G598" i="2"/>
  <c r="I482" i="2"/>
  <c r="H482" i="2"/>
  <c r="H492" i="2"/>
  <c r="I492" i="2"/>
  <c r="G539" i="2"/>
  <c r="H960" i="2"/>
  <c r="I572" i="2"/>
  <c r="I960" i="2" s="1"/>
  <c r="H572" i="2"/>
  <c r="G661" i="2"/>
  <c r="G669" i="2" s="1"/>
  <c r="I606" i="2"/>
  <c r="H606" i="2"/>
  <c r="G570" i="2"/>
  <c r="H713" i="2"/>
  <c r="I713" i="2"/>
  <c r="I602" i="2"/>
  <c r="H602" i="2"/>
  <c r="G652" i="2"/>
  <c r="G655" i="2" s="1"/>
  <c r="I717" i="2"/>
  <c r="H717" i="2"/>
  <c r="G587" i="2"/>
  <c r="I607" i="2"/>
  <c r="H607" i="2"/>
  <c r="G612" i="2"/>
  <c r="I608" i="2"/>
  <c r="H608" i="2"/>
  <c r="G691" i="2"/>
  <c r="G692" i="2"/>
  <c r="I709" i="2"/>
  <c r="H709" i="2"/>
  <c r="H718" i="2"/>
  <c r="I718" i="2"/>
  <c r="I728" i="2"/>
  <c r="H728" i="2"/>
  <c r="G629" i="2"/>
  <c r="H629" i="2" s="1"/>
  <c r="G633" i="2"/>
  <c r="I685" i="2"/>
  <c r="I35" i="2" s="1"/>
  <c r="H685" i="2"/>
  <c r="H35" i="2" s="1"/>
  <c r="H710" i="2"/>
  <c r="I710" i="2"/>
  <c r="I720" i="2"/>
  <c r="H720" i="2"/>
  <c r="I603" i="2"/>
  <c r="H603" i="2"/>
  <c r="I605" i="2"/>
  <c r="H605" i="2"/>
  <c r="I620" i="2"/>
  <c r="H620" i="2"/>
  <c r="G829" i="2"/>
  <c r="H874" i="2"/>
  <c r="I874" i="2"/>
  <c r="H877" i="2"/>
  <c r="I877" i="2"/>
  <c r="G716" i="2"/>
  <c r="G802" i="2"/>
  <c r="H887" i="2"/>
  <c r="I887" i="2"/>
  <c r="G635" i="2"/>
  <c r="G697" i="2"/>
  <c r="G704" i="2" s="1"/>
  <c r="G736" i="2"/>
  <c r="G737" i="2"/>
  <c r="I871" i="2"/>
  <c r="H871" i="2"/>
  <c r="G626" i="2"/>
  <c r="H867" i="2"/>
  <c r="I867" i="2"/>
  <c r="G727" i="2"/>
  <c r="I808" i="2"/>
  <c r="H808" i="2"/>
  <c r="I885" i="2"/>
  <c r="H885" i="2"/>
  <c r="I880" i="2"/>
  <c r="H880" i="2"/>
  <c r="G800" i="2"/>
  <c r="H873" i="2"/>
  <c r="I873" i="2"/>
  <c r="H879" i="2"/>
  <c r="I879" i="2"/>
  <c r="I891" i="2"/>
  <c r="H891" i="2"/>
  <c r="H951" i="2"/>
  <c r="I951" i="2"/>
  <c r="G788" i="2"/>
  <c r="G809" i="2"/>
  <c r="G847" i="2"/>
  <c r="H897" i="2"/>
  <c r="I897" i="2"/>
  <c r="I924" i="2"/>
  <c r="H924" i="2"/>
  <c r="G780" i="2"/>
  <c r="G770" i="2"/>
  <c r="I872" i="2"/>
  <c r="H872" i="2"/>
  <c r="H878" i="2"/>
  <c r="I878" i="2"/>
  <c r="H898" i="2"/>
  <c r="I898" i="2"/>
  <c r="H870" i="2"/>
  <c r="I870" i="2"/>
  <c r="I910" i="2"/>
  <c r="H910" i="2"/>
  <c r="G863" i="2"/>
  <c r="I892" i="2"/>
  <c r="H892" i="2"/>
  <c r="I893" i="2"/>
  <c r="H893" i="2"/>
  <c r="H896" i="2"/>
  <c r="G899" i="2"/>
  <c r="I896" i="2"/>
  <c r="G820" i="2"/>
  <c r="G839" i="2"/>
  <c r="G955" i="2"/>
  <c r="H981" i="2"/>
  <c r="I981" i="2"/>
  <c r="G855" i="2"/>
  <c r="I952" i="2"/>
  <c r="H952" i="2"/>
  <c r="H301" i="2"/>
  <c r="I301" i="2"/>
  <c r="G821" i="2"/>
  <c r="H953" i="2"/>
  <c r="I953" i="2"/>
  <c r="G962" i="2"/>
  <c r="G832" i="2"/>
  <c r="G843" i="2"/>
  <c r="G846" i="2"/>
  <c r="G862" i="2"/>
  <c r="E770" i="2"/>
  <c r="E769" i="2"/>
  <c r="A25" i="2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G886" i="2"/>
  <c r="G907" i="2"/>
  <c r="G913" i="2" s="1"/>
  <c r="G920" i="2" s="1"/>
  <c r="G937" i="2"/>
  <c r="G946" i="2" s="1"/>
  <c r="G947" i="2" s="1"/>
  <c r="G983" i="2"/>
  <c r="G997" i="2" s="1"/>
  <c r="H74" i="2"/>
  <c r="J330" i="2"/>
  <c r="B575" i="2"/>
  <c r="B502" i="2"/>
  <c r="B528" i="2"/>
  <c r="B447" i="2"/>
  <c r="B413" i="2"/>
  <c r="B934" i="2"/>
  <c r="B967" i="2"/>
  <c r="B903" i="2"/>
  <c r="J998" i="2"/>
  <c r="H989" i="2"/>
  <c r="H986" i="2"/>
  <c r="I1073" i="2"/>
  <c r="I1112" i="2"/>
  <c r="I1078" i="2"/>
  <c r="H1093" i="2"/>
  <c r="H1101" i="2"/>
  <c r="H1071" i="2"/>
  <c r="H1006" i="2"/>
  <c r="G1045" i="2"/>
  <c r="H1086" i="2"/>
  <c r="I1071" i="2"/>
  <c r="I1006" i="2"/>
  <c r="H1078" i="2"/>
  <c r="G1113" i="2"/>
  <c r="I988" i="2"/>
  <c r="I989" i="2"/>
  <c r="H988" i="2"/>
  <c r="H1076" i="2"/>
  <c r="I1101" i="2"/>
  <c r="I1109" i="2"/>
  <c r="G1109" i="2"/>
  <c r="H1102" i="2"/>
  <c r="G1112" i="2"/>
  <c r="H987" i="2"/>
  <c r="I1076" i="2"/>
  <c r="I1011" i="2"/>
  <c r="I1102" i="2"/>
  <c r="H1112" i="2"/>
  <c r="H1070" i="2"/>
  <c r="G1011" i="2"/>
  <c r="I1070" i="2"/>
  <c r="G1110" i="2"/>
  <c r="G1083" i="2"/>
  <c r="I706" i="2" l="1"/>
  <c r="I186" i="2"/>
  <c r="H207" i="2"/>
  <c r="H205" i="2"/>
  <c r="I876" i="2"/>
  <c r="I881" i="2" s="1"/>
  <c r="H185" i="2"/>
  <c r="H650" i="2"/>
  <c r="H537" i="2"/>
  <c r="H202" i="2"/>
  <c r="H549" i="2"/>
  <c r="H645" i="2"/>
  <c r="H890" i="2"/>
  <c r="H894" i="2" s="1"/>
  <c r="H551" i="2"/>
  <c r="H237" i="2"/>
  <c r="G543" i="2"/>
  <c r="G557" i="2" s="1"/>
  <c r="I237" i="2"/>
  <c r="H927" i="2"/>
  <c r="I204" i="2"/>
  <c r="I954" i="2"/>
  <c r="I950" i="2" s="1"/>
  <c r="I955" i="2" s="1"/>
  <c r="I560" i="2" s="1"/>
  <c r="I565" i="2" s="1"/>
  <c r="I564" i="2"/>
  <c r="H328" i="2"/>
  <c r="H22" i="2" s="1"/>
  <c r="I474" i="2"/>
  <c r="H680" i="2"/>
  <c r="I206" i="2"/>
  <c r="H550" i="2"/>
  <c r="H536" i="2"/>
  <c r="H925" i="2"/>
  <c r="H869" i="2"/>
  <c r="H875" i="2" s="1"/>
  <c r="I679" i="2"/>
  <c r="H251" i="2"/>
  <c r="H17" i="2" s="1"/>
  <c r="I553" i="2"/>
  <c r="I537" i="2"/>
  <c r="I210" i="2"/>
  <c r="I869" i="2"/>
  <c r="I875" i="2" s="1"/>
  <c r="I882" i="2" s="1"/>
  <c r="H876" i="2"/>
  <c r="H881" i="2" s="1"/>
  <c r="G881" i="2" s="1"/>
  <c r="H564" i="2"/>
  <c r="G555" i="2"/>
  <c r="H184" i="2"/>
  <c r="H706" i="2"/>
  <c r="I251" i="2"/>
  <c r="I17" i="2" s="1"/>
  <c r="I929" i="2"/>
  <c r="H649" i="2"/>
  <c r="H355" i="2"/>
  <c r="I540" i="2"/>
  <c r="H899" i="2"/>
  <c r="I890" i="2"/>
  <c r="I894" i="2" s="1"/>
  <c r="H497" i="2"/>
  <c r="H291" i="2"/>
  <c r="H627" i="2"/>
  <c r="H929" i="2"/>
  <c r="I653" i="2"/>
  <c r="I927" i="2"/>
  <c r="I941" i="2"/>
  <c r="G471" i="2"/>
  <c r="G640" i="2"/>
  <c r="I209" i="2"/>
  <c r="H941" i="2"/>
  <c r="H548" i="2"/>
  <c r="H654" i="2"/>
  <c r="H434" i="2"/>
  <c r="I434" i="2"/>
  <c r="I984" i="2"/>
  <c r="H984" i="2"/>
  <c r="G1111" i="2"/>
  <c r="H1111" i="2"/>
  <c r="I1111" i="2"/>
  <c r="G854" i="2"/>
  <c r="I759" i="2"/>
  <c r="I60" i="2"/>
  <c r="G567" i="2"/>
  <c r="G609" i="2"/>
  <c r="I598" i="2"/>
  <c r="H598" i="2"/>
  <c r="G486" i="2"/>
  <c r="G337" i="2"/>
  <c r="I328" i="2"/>
  <c r="I22" i="2" s="1"/>
  <c r="H340" i="2"/>
  <c r="I340" i="2"/>
  <c r="I651" i="2"/>
  <c r="I650" i="2"/>
  <c r="I550" i="2"/>
  <c r="H203" i="2"/>
  <c r="H646" i="2"/>
  <c r="I202" i="2"/>
  <c r="H296" i="2"/>
  <c r="H162" i="2"/>
  <c r="H211" i="2"/>
  <c r="I654" i="2"/>
  <c r="G44" i="2"/>
  <c r="H954" i="2"/>
  <c r="H950" i="2" s="1"/>
  <c r="H955" i="2" s="1"/>
  <c r="H560" i="2" s="1"/>
  <c r="H565" i="2" s="1"/>
  <c r="G678" i="2"/>
  <c r="G681" i="2" s="1"/>
  <c r="G424" i="2"/>
  <c r="G588" i="2"/>
  <c r="I586" i="2"/>
  <c r="H586" i="2"/>
  <c r="G350" i="2"/>
  <c r="G359" i="2" s="1"/>
  <c r="G420" i="2"/>
  <c r="I418" i="2"/>
  <c r="I420" i="2" s="1"/>
  <c r="H418" i="2"/>
  <c r="H420" i="2" s="1"/>
  <c r="I356" i="2"/>
  <c r="H356" i="2"/>
  <c r="G114" i="2"/>
  <c r="I497" i="2"/>
  <c r="I629" i="2"/>
  <c r="H539" i="2"/>
  <c r="H204" i="2"/>
  <c r="I203" i="2"/>
  <c r="H940" i="2"/>
  <c r="H535" i="2"/>
  <c r="I547" i="2"/>
  <c r="I162" i="2"/>
  <c r="I211" i="2"/>
  <c r="I943" i="2"/>
  <c r="I639" i="2"/>
  <c r="H639" i="2"/>
  <c r="I196" i="2"/>
  <c r="H196" i="2"/>
  <c r="G894" i="2"/>
  <c r="I727" i="2"/>
  <c r="I730" i="2" s="1"/>
  <c r="I37" i="2" s="1"/>
  <c r="H727" i="2"/>
  <c r="H730" i="2" s="1"/>
  <c r="H37" i="2" s="1"/>
  <c r="G630" i="2"/>
  <c r="G738" i="2"/>
  <c r="G38" i="2" s="1"/>
  <c r="G63" i="2" s="1"/>
  <c r="G786" i="2"/>
  <c r="H570" i="2"/>
  <c r="I570" i="2"/>
  <c r="G571" i="2"/>
  <c r="I425" i="2"/>
  <c r="H425" i="2"/>
  <c r="H398" i="2"/>
  <c r="I398" i="2"/>
  <c r="I369" i="2"/>
  <c r="H369" i="2"/>
  <c r="H392" i="2"/>
  <c r="H316" i="2"/>
  <c r="I316" i="2"/>
  <c r="I470" i="2"/>
  <c r="H470" i="2"/>
  <c r="G472" i="2"/>
  <c r="G475" i="2" s="1"/>
  <c r="G109" i="2"/>
  <c r="I336" i="2"/>
  <c r="H336" i="2"/>
  <c r="I942" i="2"/>
  <c r="I648" i="2"/>
  <c r="I940" i="2"/>
  <c r="I939" i="2"/>
  <c r="H200" i="2"/>
  <c r="I928" i="2"/>
  <c r="G127" i="2"/>
  <c r="I125" i="2"/>
  <c r="I127" i="2" s="1"/>
  <c r="H125" i="2"/>
  <c r="H127" i="2" s="1"/>
  <c r="G1077" i="2"/>
  <c r="H569" i="2"/>
  <c r="H571" i="2" s="1"/>
  <c r="I569" i="2"/>
  <c r="I571" i="2" s="1"/>
  <c r="G837" i="2"/>
  <c r="G438" i="2"/>
  <c r="H511" i="2"/>
  <c r="I511" i="2"/>
  <c r="I422" i="2"/>
  <c r="H422" i="2"/>
  <c r="G272" i="2"/>
  <c r="G283" i="2" s="1"/>
  <c r="I392" i="2"/>
  <c r="G191" i="2"/>
  <c r="G197" i="2" s="1"/>
  <c r="I185" i="2"/>
  <c r="I539" i="2"/>
  <c r="H647" i="2"/>
  <c r="I536" i="2"/>
  <c r="H926" i="2"/>
  <c r="I548" i="2"/>
  <c r="I200" i="2"/>
  <c r="I538" i="2"/>
  <c r="H943" i="2"/>
  <c r="H540" i="2"/>
  <c r="E278" i="2"/>
  <c r="A96" i="2"/>
  <c r="A97" i="2" s="1"/>
  <c r="G781" i="2"/>
  <c r="G831" i="2"/>
  <c r="G833" i="2" s="1"/>
  <c r="G799" i="2"/>
  <c r="G801" i="2" s="1"/>
  <c r="G787" i="2"/>
  <c r="G458" i="2"/>
  <c r="G387" i="2"/>
  <c r="H347" i="2"/>
  <c r="I347" i="2"/>
  <c r="H435" i="2"/>
  <c r="I435" i="2"/>
  <c r="I255" i="2"/>
  <c r="H255" i="2"/>
  <c r="G257" i="2"/>
  <c r="G261" i="2" s="1"/>
  <c r="H442" i="2"/>
  <c r="H679" i="2"/>
  <c r="I549" i="2"/>
  <c r="I926" i="2"/>
  <c r="I645" i="2"/>
  <c r="I201" i="2"/>
  <c r="I644" i="2"/>
  <c r="H295" i="2"/>
  <c r="H552" i="2"/>
  <c r="H653" i="2"/>
  <c r="H1077" i="2"/>
  <c r="G1006" i="2"/>
  <c r="I1072" i="2" s="1"/>
  <c r="I1077" i="2"/>
  <c r="I899" i="2"/>
  <c r="G507" i="2"/>
  <c r="G515" i="2" s="1"/>
  <c r="G527" i="2" s="1"/>
  <c r="H358" i="2"/>
  <c r="I358" i="2"/>
  <c r="G183" i="2"/>
  <c r="G187" i="2" s="1"/>
  <c r="I306" i="2"/>
  <c r="I307" i="2" s="1"/>
  <c r="H306" i="2"/>
  <c r="H307" i="2" s="1"/>
  <c r="I439" i="2"/>
  <c r="H439" i="2"/>
  <c r="G318" i="2"/>
  <c r="I309" i="2"/>
  <c r="H309" i="2"/>
  <c r="H318" i="2" s="1"/>
  <c r="G307" i="2"/>
  <c r="I357" i="2"/>
  <c r="I680" i="2"/>
  <c r="H652" i="2"/>
  <c r="I551" i="2"/>
  <c r="I295" i="2"/>
  <c r="H930" i="2"/>
  <c r="I130" i="2"/>
  <c r="I132" i="2" s="1"/>
  <c r="H130" i="2"/>
  <c r="H132" i="2" s="1"/>
  <c r="G132" i="2"/>
  <c r="G343" i="2"/>
  <c r="I405" i="2"/>
  <c r="I407" i="2" s="1"/>
  <c r="H405" i="2"/>
  <c r="H407" i="2" s="1"/>
  <c r="G407" i="2"/>
  <c r="I383" i="2"/>
  <c r="H383" i="2"/>
  <c r="I352" i="2"/>
  <c r="H352" i="2"/>
  <c r="G22" i="2"/>
  <c r="I652" i="2"/>
  <c r="I646" i="2"/>
  <c r="I886" i="2"/>
  <c r="I884" i="2" s="1"/>
  <c r="I888" i="2" s="1"/>
  <c r="I895" i="2" s="1"/>
  <c r="H886" i="2"/>
  <c r="H884" i="2" s="1"/>
  <c r="H888" i="2" s="1"/>
  <c r="H759" i="2"/>
  <c r="G35" i="2"/>
  <c r="G759" i="2" s="1"/>
  <c r="H60" i="2"/>
  <c r="G60" i="2" s="1"/>
  <c r="G577" i="2"/>
  <c r="G457" i="2"/>
  <c r="G100" i="2"/>
  <c r="H453" i="2"/>
  <c r="H454" i="2" s="1"/>
  <c r="I453" i="2"/>
  <c r="I454" i="2" s="1"/>
  <c r="G403" i="2"/>
  <c r="I401" i="2"/>
  <c r="I403" i="2" s="1"/>
  <c r="H401" i="2"/>
  <c r="H403" i="2" s="1"/>
  <c r="G137" i="2"/>
  <c r="I135" i="2"/>
  <c r="I137" i="2" s="1"/>
  <c r="H135" i="2"/>
  <c r="H137" i="2" s="1"/>
  <c r="I916" i="2"/>
  <c r="I908" i="2"/>
  <c r="H916" i="2"/>
  <c r="H908" i="2"/>
  <c r="I635" i="2"/>
  <c r="I520" i="2"/>
  <c r="H520" i="2"/>
  <c r="H635" i="2"/>
  <c r="H509" i="2"/>
  <c r="I294" i="2"/>
  <c r="I509" i="2"/>
  <c r="H294" i="2"/>
  <c r="I192" i="2"/>
  <c r="H192" i="2"/>
  <c r="G299" i="2"/>
  <c r="I362" i="2"/>
  <c r="H362" i="2"/>
  <c r="G373" i="2"/>
  <c r="I945" i="2"/>
  <c r="I937" i="2"/>
  <c r="I932" i="2"/>
  <c r="H923" i="2"/>
  <c r="H945" i="2"/>
  <c r="H937" i="2"/>
  <c r="H932" i="2"/>
  <c r="I923" i="2"/>
  <c r="I702" i="2"/>
  <c r="H702" i="2"/>
  <c r="H542" i="2"/>
  <c r="I554" i="2"/>
  <c r="I546" i="2"/>
  <c r="H554" i="2"/>
  <c r="I541" i="2"/>
  <c r="I533" i="2"/>
  <c r="H546" i="2"/>
  <c r="H533" i="2"/>
  <c r="I542" i="2"/>
  <c r="H541" i="2"/>
  <c r="I366" i="2"/>
  <c r="H366" i="2"/>
  <c r="I270" i="2"/>
  <c r="H270" i="2"/>
  <c r="G409" i="2" l="1"/>
  <c r="G322" i="2"/>
  <c r="G730" i="2"/>
  <c r="G875" i="2"/>
  <c r="I901" i="2"/>
  <c r="H882" i="2"/>
  <c r="H350" i="2"/>
  <c r="I555" i="2"/>
  <c r="H655" i="2"/>
  <c r="H322" i="2"/>
  <c r="H21" i="2" s="1"/>
  <c r="H212" i="2"/>
  <c r="I350" i="2"/>
  <c r="I318" i="2"/>
  <c r="H946" i="2"/>
  <c r="I655" i="2"/>
  <c r="G615" i="2"/>
  <c r="G618" i="2" s="1"/>
  <c r="I471" i="2"/>
  <c r="I472" i="2" s="1"/>
  <c r="H471" i="2"/>
  <c r="I322" i="2"/>
  <c r="I21" i="2" s="1"/>
  <c r="G21" i="2" s="1"/>
  <c r="H472" i="2"/>
  <c r="G17" i="2"/>
  <c r="H895" i="2"/>
  <c r="G888" i="2"/>
  <c r="H555" i="2"/>
  <c r="I409" i="2"/>
  <c r="G116" i="2"/>
  <c r="I114" i="2"/>
  <c r="I116" i="2" s="1"/>
  <c r="H114" i="2"/>
  <c r="H116" i="2" s="1"/>
  <c r="I543" i="2"/>
  <c r="I557" i="2" s="1"/>
  <c r="I931" i="2" s="1"/>
  <c r="I933" i="2" s="1"/>
  <c r="G483" i="2"/>
  <c r="G769" i="2"/>
  <c r="H409" i="2"/>
  <c r="H761" i="2"/>
  <c r="G37" i="2"/>
  <c r="G761" i="2" s="1"/>
  <c r="H62" i="2"/>
  <c r="H486" i="2"/>
  <c r="H488" i="2" s="1"/>
  <c r="I486" i="2"/>
  <c r="I488" i="2" s="1"/>
  <c r="G488" i="2"/>
  <c r="I638" i="2"/>
  <c r="H638" i="2"/>
  <c r="H195" i="2"/>
  <c r="I195" i="2"/>
  <c r="I438" i="2"/>
  <c r="I440" i="2" s="1"/>
  <c r="I444" i="2" s="1"/>
  <c r="H438" i="2"/>
  <c r="H440" i="2" s="1"/>
  <c r="G440" i="2"/>
  <c r="G444" i="2" s="1"/>
  <c r="I837" i="2"/>
  <c r="H837" i="2"/>
  <c r="I761" i="2"/>
  <c r="I62" i="2"/>
  <c r="H467" i="2"/>
  <c r="H475" i="2" s="1"/>
  <c r="I467" i="2"/>
  <c r="I44" i="2"/>
  <c r="I69" i="2" s="1"/>
  <c r="H44" i="2"/>
  <c r="H69" i="2" s="1"/>
  <c r="G69" i="2"/>
  <c r="G574" i="2"/>
  <c r="I965" i="2"/>
  <c r="I966" i="2" s="1"/>
  <c r="H965" i="2"/>
  <c r="H966" i="2" s="1"/>
  <c r="I577" i="2"/>
  <c r="I578" i="2" s="1"/>
  <c r="G578" i="2"/>
  <c r="H577" i="2"/>
  <c r="H578" i="2" s="1"/>
  <c r="G345" i="2"/>
  <c r="G375" i="2" s="1"/>
  <c r="H343" i="2"/>
  <c r="H345" i="2" s="1"/>
  <c r="I343" i="2"/>
  <c r="I345" i="2" s="1"/>
  <c r="H387" i="2"/>
  <c r="H388" i="2" s="1"/>
  <c r="I387" i="2"/>
  <c r="I388" i="2" s="1"/>
  <c r="G388" i="2"/>
  <c r="G395" i="2" s="1"/>
  <c r="G411" i="2" s="1"/>
  <c r="E678" i="2"/>
  <c r="E680" i="2"/>
  <c r="E236" i="2"/>
  <c r="E229" i="2"/>
  <c r="E232" i="2"/>
  <c r="A98" i="2"/>
  <c r="A99" i="2" s="1"/>
  <c r="A100" i="2" s="1"/>
  <c r="I212" i="2"/>
  <c r="H959" i="2"/>
  <c r="I959" i="2"/>
  <c r="I573" i="2"/>
  <c r="H573" i="2"/>
  <c r="H444" i="2"/>
  <c r="I917" i="2"/>
  <c r="I909" i="2"/>
  <c r="H917" i="2"/>
  <c r="H909" i="2"/>
  <c r="I636" i="2"/>
  <c r="I510" i="2"/>
  <c r="H636" i="2"/>
  <c r="H510" i="2"/>
  <c r="I521" i="2"/>
  <c r="H521" i="2"/>
  <c r="I193" i="2"/>
  <c r="H193" i="2"/>
  <c r="H109" i="2"/>
  <c r="H111" i="2" s="1"/>
  <c r="H144" i="2" s="1"/>
  <c r="H1065" i="2" s="1"/>
  <c r="G111" i="2"/>
  <c r="I109" i="2"/>
  <c r="I111" i="2" s="1"/>
  <c r="I144" i="2" s="1"/>
  <c r="I1065" i="2" s="1"/>
  <c r="G797" i="2"/>
  <c r="H697" i="2"/>
  <c r="I100" i="2"/>
  <c r="I105" i="2" s="1"/>
  <c r="H100" i="2"/>
  <c r="H105" i="2" s="1"/>
  <c r="G105" i="2"/>
  <c r="I458" i="2"/>
  <c r="H458" i="2"/>
  <c r="G789" i="2"/>
  <c r="G426" i="2"/>
  <c r="G431" i="2" s="1"/>
  <c r="G446" i="2" s="1"/>
  <c r="I424" i="2"/>
  <c r="I426" i="2" s="1"/>
  <c r="H424" i="2"/>
  <c r="H426" i="2" s="1"/>
  <c r="I854" i="2"/>
  <c r="H854" i="2"/>
  <c r="G882" i="2"/>
  <c r="I416" i="2"/>
  <c r="H416" i="2"/>
  <c r="H431" i="2" s="1"/>
  <c r="H1063" i="2"/>
  <c r="I337" i="2"/>
  <c r="I85" i="2"/>
  <c r="G1072" i="2"/>
  <c r="I907" i="2"/>
  <c r="H907" i="2"/>
  <c r="I508" i="2"/>
  <c r="H508" i="2"/>
  <c r="H543" i="2"/>
  <c r="I946" i="2"/>
  <c r="I457" i="2"/>
  <c r="H457" i="2"/>
  <c r="H459" i="2" s="1"/>
  <c r="G459" i="2"/>
  <c r="G464" i="2" s="1"/>
  <c r="G477" i="2" s="1"/>
  <c r="H637" i="2"/>
  <c r="I637" i="2"/>
  <c r="I194" i="2"/>
  <c r="H194" i="2"/>
  <c r="H1072" i="2"/>
  <c r="I1063" i="2"/>
  <c r="H337" i="2"/>
  <c r="H85" i="2"/>
  <c r="I475" i="2" l="1"/>
  <c r="I183" i="2"/>
  <c r="I187" i="2" s="1"/>
  <c r="H446" i="2"/>
  <c r="I394" i="2"/>
  <c r="H557" i="2"/>
  <c r="H931" i="2" s="1"/>
  <c r="H933" i="2" s="1"/>
  <c r="H947" i="2" s="1"/>
  <c r="I698" i="2"/>
  <c r="I697" i="2"/>
  <c r="I395" i="2"/>
  <c r="I411" i="2" s="1"/>
  <c r="I28" i="2"/>
  <c r="I431" i="2"/>
  <c r="I446" i="2" s="1"/>
  <c r="I626" i="2"/>
  <c r="I630" i="2" s="1"/>
  <c r="G62" i="2"/>
  <c r="I961" i="2"/>
  <c r="I958" i="2" s="1"/>
  <c r="I962" i="2" s="1"/>
  <c r="I567" i="2" s="1"/>
  <c r="I574" i="2" s="1"/>
  <c r="I700" i="2"/>
  <c r="H700" i="2"/>
  <c r="I268" i="2"/>
  <c r="H268" i="2"/>
  <c r="H276" i="2"/>
  <c r="I276" i="2"/>
  <c r="H626" i="2"/>
  <c r="H630" i="2" s="1"/>
  <c r="I353" i="2"/>
  <c r="I359" i="2" s="1"/>
  <c r="H353" i="2"/>
  <c r="H359" i="2" s="1"/>
  <c r="H1055" i="2"/>
  <c r="H699" i="2"/>
  <c r="H28" i="2"/>
  <c r="G1063" i="2"/>
  <c r="G1126" i="2" s="1"/>
  <c r="I1055" i="2"/>
  <c r="I699" i="2"/>
  <c r="H633" i="2"/>
  <c r="I633" i="2"/>
  <c r="H292" i="2"/>
  <c r="I190" i="2"/>
  <c r="I292" i="2"/>
  <c r="G144" i="2"/>
  <c r="H190" i="2"/>
  <c r="G85" i="2"/>
  <c r="I459" i="2"/>
  <c r="H183" i="2"/>
  <c r="H187" i="2" s="1"/>
  <c r="H698" i="2"/>
  <c r="H1128" i="2"/>
  <c r="G1065" i="2"/>
  <c r="G1128" i="2" s="1"/>
  <c r="I483" i="2"/>
  <c r="I484" i="2" s="1"/>
  <c r="I490" i="2" s="1"/>
  <c r="I499" i="2" s="1"/>
  <c r="H483" i="2"/>
  <c r="H484" i="2" s="1"/>
  <c r="H490" i="2" s="1"/>
  <c r="H499" i="2" s="1"/>
  <c r="G484" i="2"/>
  <c r="G490" i="2" s="1"/>
  <c r="G499" i="2" s="1"/>
  <c r="G501" i="2" s="1"/>
  <c r="I915" i="2"/>
  <c r="H915" i="2"/>
  <c r="I634" i="2"/>
  <c r="H634" i="2"/>
  <c r="I519" i="2"/>
  <c r="H519" i="2"/>
  <c r="I293" i="2"/>
  <c r="H191" i="2"/>
  <c r="H293" i="2"/>
  <c r="I191" i="2"/>
  <c r="I450" i="2"/>
  <c r="I464" i="2" s="1"/>
  <c r="H450" i="2"/>
  <c r="H464" i="2" s="1"/>
  <c r="H477" i="2" s="1"/>
  <c r="E699" i="2"/>
  <c r="E626" i="2"/>
  <c r="E697" i="2"/>
  <c r="E698" i="2"/>
  <c r="E394" i="2"/>
  <c r="E183" i="2"/>
  <c r="A101" i="2"/>
  <c r="H394" i="2"/>
  <c r="H395" i="2" s="1"/>
  <c r="H411" i="2" s="1"/>
  <c r="H961" i="2"/>
  <c r="H958" i="2" s="1"/>
  <c r="H962" i="2" s="1"/>
  <c r="H567" i="2" s="1"/>
  <c r="H574" i="2" s="1"/>
  <c r="I947" i="2"/>
  <c r="G895" i="2"/>
  <c r="G901" i="2" s="1"/>
  <c r="G998" i="2" s="1"/>
  <c r="H901" i="2"/>
  <c r="I477" i="2" l="1"/>
  <c r="I501" i="2"/>
  <c r="H501" i="2"/>
  <c r="I197" i="2"/>
  <c r="I640" i="2"/>
  <c r="H640" i="2"/>
  <c r="I1128" i="2"/>
  <c r="H53" i="2"/>
  <c r="G28" i="2"/>
  <c r="H197" i="2"/>
  <c r="H1126" i="2"/>
  <c r="E706" i="2"/>
  <c r="E679" i="2"/>
  <c r="E627" i="2"/>
  <c r="E357" i="2"/>
  <c r="E291" i="2"/>
  <c r="E442" i="2"/>
  <c r="E184" i="2"/>
  <c r="E237" i="2"/>
  <c r="A102" i="2"/>
  <c r="I914" i="2"/>
  <c r="I906" i="2"/>
  <c r="H914" i="2"/>
  <c r="H906" i="2"/>
  <c r="I918" i="2"/>
  <c r="H918" i="2"/>
  <c r="I912" i="2"/>
  <c r="H912" i="2"/>
  <c r="I701" i="2"/>
  <c r="H701" i="2"/>
  <c r="I512" i="2"/>
  <c r="H512" i="2"/>
  <c r="I522" i="2"/>
  <c r="I518" i="2"/>
  <c r="H522" i="2"/>
  <c r="H518" i="2"/>
  <c r="I507" i="2"/>
  <c r="H523" i="2"/>
  <c r="I513" i="2"/>
  <c r="I371" i="2" s="1"/>
  <c r="H513" i="2"/>
  <c r="H371" i="2" s="1"/>
  <c r="I523" i="2"/>
  <c r="I365" i="2"/>
  <c r="H365" i="2"/>
  <c r="H507" i="2"/>
  <c r="I269" i="2"/>
  <c r="H269" i="2"/>
  <c r="G1055" i="2"/>
  <c r="I53" i="2"/>
  <c r="I1126" i="2"/>
  <c r="I525" i="2" l="1"/>
  <c r="I919" i="2"/>
  <c r="I515" i="2"/>
  <c r="I527" i="2" s="1"/>
  <c r="I911" i="2" s="1"/>
  <c r="I913" i="2" s="1"/>
  <c r="I920" i="2" s="1"/>
  <c r="I1056" i="2" s="1"/>
  <c r="H515" i="2"/>
  <c r="G1118" i="2"/>
  <c r="H372" i="2"/>
  <c r="I372" i="2"/>
  <c r="I373" i="2" s="1"/>
  <c r="I375" i="2" s="1"/>
  <c r="I172" i="2"/>
  <c r="I168" i="2"/>
  <c r="H172" i="2"/>
  <c r="H168" i="2"/>
  <c r="I173" i="2"/>
  <c r="I169" i="2"/>
  <c r="I165" i="2"/>
  <c r="H173" i="2"/>
  <c r="H169" i="2"/>
  <c r="H165" i="2"/>
  <c r="I174" i="2"/>
  <c r="I170" i="2"/>
  <c r="I166" i="2"/>
  <c r="H174" i="2"/>
  <c r="H170" i="2"/>
  <c r="H166" i="2"/>
  <c r="H171" i="2"/>
  <c r="H167" i="2"/>
  <c r="I167" i="2"/>
  <c r="I171" i="2"/>
  <c r="H373" i="2"/>
  <c r="H375" i="2" s="1"/>
  <c r="E628" i="2"/>
  <c r="E185" i="2"/>
  <c r="A103" i="2"/>
  <c r="G813" i="2"/>
  <c r="I1060" i="2"/>
  <c r="H919" i="2"/>
  <c r="G53" i="2"/>
  <c r="H1118" i="2"/>
  <c r="H525" i="2"/>
  <c r="H527" i="2" s="1"/>
  <c r="I1118" i="2"/>
  <c r="H911" i="2" l="1"/>
  <c r="H913" i="2" s="1"/>
  <c r="H920" i="2" s="1"/>
  <c r="H1060" i="2"/>
  <c r="H663" i="2"/>
  <c r="H221" i="2"/>
  <c r="I666" i="2"/>
  <c r="I224" i="2"/>
  <c r="H1058" i="2"/>
  <c r="H298" i="2"/>
  <c r="H218" i="2"/>
  <c r="H660" i="2"/>
  <c r="H225" i="2"/>
  <c r="H667" i="2"/>
  <c r="E629" i="2"/>
  <c r="E474" i="2"/>
  <c r="E186" i="2"/>
  <c r="A104" i="2"/>
  <c r="A105" i="2" s="1"/>
  <c r="H664" i="2"/>
  <c r="H222" i="2"/>
  <c r="I176" i="2"/>
  <c r="I217" i="2"/>
  <c r="I659" i="2"/>
  <c r="I297" i="2"/>
  <c r="I995" i="2"/>
  <c r="H665" i="2"/>
  <c r="H223" i="2"/>
  <c r="I1061" i="2"/>
  <c r="H668" i="2"/>
  <c r="H226" i="2"/>
  <c r="I663" i="2"/>
  <c r="I221" i="2"/>
  <c r="I1058" i="2"/>
  <c r="I218" i="2"/>
  <c r="I660" i="2"/>
  <c r="I298" i="2"/>
  <c r="I225" i="2"/>
  <c r="I667" i="2"/>
  <c r="I29" i="2"/>
  <c r="I377" i="2"/>
  <c r="H29" i="2"/>
  <c r="H377" i="2"/>
  <c r="G377" i="2" s="1"/>
  <c r="I665" i="2"/>
  <c r="I223" i="2"/>
  <c r="I664" i="2"/>
  <c r="I222" i="2"/>
  <c r="H662" i="2"/>
  <c r="H220" i="2"/>
  <c r="I219" i="2"/>
  <c r="I661" i="2"/>
  <c r="I668" i="2"/>
  <c r="I226" i="2"/>
  <c r="H666" i="2"/>
  <c r="H224" i="2"/>
  <c r="G858" i="2"/>
  <c r="H219" i="2"/>
  <c r="H661" i="2"/>
  <c r="H176" i="2"/>
  <c r="H659" i="2"/>
  <c r="H217" i="2"/>
  <c r="H297" i="2"/>
  <c r="H299" i="2" s="1"/>
  <c r="H19" i="2" s="1"/>
  <c r="H995" i="2"/>
  <c r="I662" i="2"/>
  <c r="I220" i="2"/>
  <c r="H669" i="2" l="1"/>
  <c r="H672" i="2" s="1"/>
  <c r="I703" i="2"/>
  <c r="I704" i="2" s="1"/>
  <c r="I274" i="2" s="1"/>
  <c r="I617" i="2"/>
  <c r="I614" i="2"/>
  <c r="I1059" i="2"/>
  <c r="I1057" i="2"/>
  <c r="H227" i="2"/>
  <c r="G1058" i="2"/>
  <c r="H1121" i="2" s="1"/>
  <c r="G672" i="2"/>
  <c r="H614" i="2"/>
  <c r="H703" i="2"/>
  <c r="H704" i="2" s="1"/>
  <c r="H274" i="2" s="1"/>
  <c r="H617" i="2"/>
  <c r="H1057" i="2"/>
  <c r="H1059" i="2"/>
  <c r="G1060" i="2"/>
  <c r="H1123" i="2"/>
  <c r="I227" i="2"/>
  <c r="H54" i="2"/>
  <c r="G29" i="2"/>
  <c r="G30" i="2" s="1"/>
  <c r="H30" i="2"/>
  <c r="I299" i="2"/>
  <c r="I19" i="2" s="1"/>
  <c r="G19" i="2" s="1"/>
  <c r="E700" i="2"/>
  <c r="E276" i="2"/>
  <c r="E268" i="2"/>
  <c r="A106" i="2"/>
  <c r="A107" i="2" s="1"/>
  <c r="A108" i="2" s="1"/>
  <c r="A109" i="2" s="1"/>
  <c r="A110" i="2" s="1"/>
  <c r="A111" i="2" s="1"/>
  <c r="H1056" i="2"/>
  <c r="I54" i="2"/>
  <c r="I55" i="2" s="1"/>
  <c r="I30" i="2"/>
  <c r="I669" i="2"/>
  <c r="I672" i="2" s="1"/>
  <c r="H674" i="2" l="1"/>
  <c r="H675" i="2" s="1"/>
  <c r="G675" i="2"/>
  <c r="G683" i="2" s="1"/>
  <c r="I674" i="2"/>
  <c r="I675" i="2" s="1"/>
  <c r="G54" i="2"/>
  <c r="G55" i="2" s="1"/>
  <c r="H55" i="2"/>
  <c r="G1057" i="2"/>
  <c r="H753" i="2"/>
  <c r="H1061" i="2"/>
  <c r="G1056" i="2"/>
  <c r="H1119" i="2" s="1"/>
  <c r="G1121" i="2"/>
  <c r="H996" i="2"/>
  <c r="I996" i="2"/>
  <c r="G1123" i="2"/>
  <c r="H992" i="2"/>
  <c r="I992" i="2"/>
  <c r="I972" i="2"/>
  <c r="H972" i="2"/>
  <c r="I1123" i="2"/>
  <c r="I1121" i="2"/>
  <c r="I753" i="2"/>
  <c r="E633" i="2"/>
  <c r="E190" i="2"/>
  <c r="E292" i="2"/>
  <c r="A112" i="2"/>
  <c r="A113" i="2" s="1"/>
  <c r="A114" i="2" s="1"/>
  <c r="A115" i="2" s="1"/>
  <c r="A116" i="2" s="1"/>
  <c r="G1059" i="2"/>
  <c r="I1122" i="2" s="1"/>
  <c r="H1122" i="2" l="1"/>
  <c r="G1061" i="2"/>
  <c r="H1124" i="2" s="1"/>
  <c r="G1120" i="2"/>
  <c r="I976" i="2"/>
  <c r="H976" i="2"/>
  <c r="I975" i="2"/>
  <c r="H975" i="2"/>
  <c r="I587" i="2"/>
  <c r="I588" i="2" s="1"/>
  <c r="H587" i="2"/>
  <c r="H588" i="2" s="1"/>
  <c r="H33" i="2"/>
  <c r="I33" i="2"/>
  <c r="H1120" i="2"/>
  <c r="G1122" i="2"/>
  <c r="H855" i="2"/>
  <c r="I855" i="2"/>
  <c r="I831" i="2"/>
  <c r="H829" i="2"/>
  <c r="H817" i="2"/>
  <c r="I843" i="2"/>
  <c r="H831" i="2"/>
  <c r="H843" i="2"/>
  <c r="I838" i="2"/>
  <c r="I809" i="2"/>
  <c r="I797" i="2"/>
  <c r="I786" i="2"/>
  <c r="H838" i="2"/>
  <c r="H809" i="2"/>
  <c r="I799" i="2"/>
  <c r="H797" i="2"/>
  <c r="H786" i="2"/>
  <c r="H799" i="2"/>
  <c r="I787" i="2"/>
  <c r="I829" i="2"/>
  <c r="I817" i="2"/>
  <c r="H787" i="2"/>
  <c r="I740" i="2"/>
  <c r="I39" i="2" s="1"/>
  <c r="I64" i="2" s="1"/>
  <c r="H740" i="2"/>
  <c r="H39" i="2" s="1"/>
  <c r="H64" i="2" s="1"/>
  <c r="I736" i="2"/>
  <c r="H736" i="2"/>
  <c r="I259" i="2"/>
  <c r="H259" i="2"/>
  <c r="I260" i="2"/>
  <c r="H260" i="2"/>
  <c r="I279" i="2"/>
  <c r="H279" i="2"/>
  <c r="H258" i="2"/>
  <c r="I258" i="2"/>
  <c r="I93" i="2"/>
  <c r="H93" i="2"/>
  <c r="I95" i="2"/>
  <c r="I278" i="2" s="1"/>
  <c r="H95" i="2"/>
  <c r="H278" i="2" s="1"/>
  <c r="G753" i="2"/>
  <c r="I1120" i="2"/>
  <c r="E915" i="2"/>
  <c r="E519" i="2"/>
  <c r="E634" i="2"/>
  <c r="E293" i="2"/>
  <c r="E191" i="2"/>
  <c r="A117" i="2"/>
  <c r="A118" i="2" s="1"/>
  <c r="A119" i="2" s="1"/>
  <c r="A120" i="2" s="1"/>
  <c r="A121" i="2" s="1"/>
  <c r="I994" i="2"/>
  <c r="H994" i="2"/>
  <c r="I970" i="2"/>
  <c r="H973" i="2"/>
  <c r="G1119" i="2"/>
  <c r="I973" i="2"/>
  <c r="I971" i="2"/>
  <c r="H971" i="2"/>
  <c r="H970" i="2"/>
  <c r="I1119" i="2"/>
  <c r="I97" i="2" l="1"/>
  <c r="I178" i="2" s="1"/>
  <c r="I757" i="2"/>
  <c r="I58" i="2"/>
  <c r="E908" i="2"/>
  <c r="E916" i="2"/>
  <c r="E635" i="2"/>
  <c r="E509" i="2"/>
  <c r="E520" i="2"/>
  <c r="E350" i="2"/>
  <c r="E294" i="2"/>
  <c r="E192" i="2"/>
  <c r="A122" i="2"/>
  <c r="A123" i="2" s="1"/>
  <c r="A124" i="2" s="1"/>
  <c r="A125" i="2" s="1"/>
  <c r="A126" i="2" s="1"/>
  <c r="A127" i="2" s="1"/>
  <c r="H97" i="2"/>
  <c r="H757" i="2"/>
  <c r="H58" i="2"/>
  <c r="G33" i="2"/>
  <c r="G757" i="2" s="1"/>
  <c r="I993" i="2"/>
  <c r="G1124" i="2"/>
  <c r="H993" i="2"/>
  <c r="I1124" i="2"/>
  <c r="I236" i="2" l="1"/>
  <c r="I239" i="2" s="1"/>
  <c r="I15" i="2" s="1"/>
  <c r="I229" i="2"/>
  <c r="I230" i="2" s="1"/>
  <c r="I233" i="2" s="1"/>
  <c r="I242" i="2" s="1"/>
  <c r="I246" i="2" s="1"/>
  <c r="I232" i="2"/>
  <c r="I678" i="2"/>
  <c r="I681" i="2" s="1"/>
  <c r="I683" i="2" s="1"/>
  <c r="I14" i="2"/>
  <c r="H178" i="2"/>
  <c r="H232" i="2"/>
  <c r="H236" i="2"/>
  <c r="H239" i="2" s="1"/>
  <c r="H15" i="2" s="1"/>
  <c r="G15" i="2" s="1"/>
  <c r="H678" i="2"/>
  <c r="H681" i="2" s="1"/>
  <c r="H229" i="2"/>
  <c r="H230" i="2" s="1"/>
  <c r="E636" i="2"/>
  <c r="E193" i="2"/>
  <c r="A128" i="2"/>
  <c r="A129" i="2" s="1"/>
  <c r="A130" i="2" s="1"/>
  <c r="A131" i="2" s="1"/>
  <c r="A132" i="2" s="1"/>
  <c r="I13" i="2"/>
  <c r="G58" i="2"/>
  <c r="I34" i="2" l="1"/>
  <c r="I59" i="2" s="1"/>
  <c r="I16" i="2"/>
  <c r="E637" i="2"/>
  <c r="E194" i="2"/>
  <c r="A133" i="2"/>
  <c r="A134" i="2" s="1"/>
  <c r="A135" i="2" s="1"/>
  <c r="A136" i="2" s="1"/>
  <c r="A137" i="2" s="1"/>
  <c r="E510" i="2" s="1"/>
  <c r="I758" i="2"/>
  <c r="H34" i="2"/>
  <c r="H683" i="2"/>
  <c r="H13" i="2"/>
  <c r="G178" i="2"/>
  <c r="H233" i="2"/>
  <c r="G230" i="2"/>
  <c r="G233" i="2" s="1"/>
  <c r="G242" i="2" s="1"/>
  <c r="H242" i="2" l="1"/>
  <c r="H246" i="2" s="1"/>
  <c r="H14" i="2"/>
  <c r="G14" i="2" s="1"/>
  <c r="G13" i="2"/>
  <c r="H16" i="2"/>
  <c r="E638" i="2"/>
  <c r="E195" i="2"/>
  <c r="A138" i="2"/>
  <c r="A139" i="2" s="1"/>
  <c r="A140" i="2" s="1"/>
  <c r="A141" i="2" s="1"/>
  <c r="A142" i="2" s="1"/>
  <c r="E909" i="2"/>
  <c r="H758" i="2"/>
  <c r="H59" i="2"/>
  <c r="G59" i="2" s="1"/>
  <c r="G34" i="2"/>
  <c r="G758" i="2" s="1"/>
  <c r="E521" i="2"/>
  <c r="E917" i="2"/>
  <c r="H983" i="2"/>
  <c r="I985" i="2"/>
  <c r="H985" i="2"/>
  <c r="I983" i="2"/>
  <c r="I1062" i="2" s="1"/>
  <c r="H604" i="2"/>
  <c r="H609" i="2" s="1"/>
  <c r="I604" i="2"/>
  <c r="I609" i="2" s="1"/>
  <c r="G246" i="2"/>
  <c r="G263" i="2" s="1"/>
  <c r="G179" i="2"/>
  <c r="H271" i="2"/>
  <c r="H272" i="2" s="1"/>
  <c r="I271" i="2"/>
  <c r="I272" i="2" s="1"/>
  <c r="H1062" i="2" l="1"/>
  <c r="G285" i="2"/>
  <c r="G288" i="2"/>
  <c r="G330" i="2" s="1"/>
  <c r="E639" i="2"/>
  <c r="E196" i="2"/>
  <c r="A143" i="2"/>
  <c r="G16" i="2"/>
  <c r="G1062" i="2" l="1"/>
  <c r="H1125" i="2" s="1"/>
  <c r="I980" i="2"/>
  <c r="H979" i="2"/>
  <c r="G1125" i="2"/>
  <c r="H980" i="2"/>
  <c r="I979" i="2"/>
  <c r="I997" i="2" s="1"/>
  <c r="I998" i="2" s="1"/>
  <c r="H716" i="2"/>
  <c r="I692" i="2"/>
  <c r="I716" i="2"/>
  <c r="H692" i="2"/>
  <c r="I693" i="2"/>
  <c r="H693" i="2"/>
  <c r="H611" i="2"/>
  <c r="I691" i="2"/>
  <c r="H583" i="2"/>
  <c r="I590" i="2"/>
  <c r="I584" i="2"/>
  <c r="H590" i="2"/>
  <c r="H584" i="2"/>
  <c r="I613" i="2"/>
  <c r="I591" i="2"/>
  <c r="H613" i="2"/>
  <c r="I612" i="2"/>
  <c r="I611" i="2"/>
  <c r="H591" i="2"/>
  <c r="H581" i="2"/>
  <c r="H582" i="2"/>
  <c r="I583" i="2"/>
  <c r="I256" i="2"/>
  <c r="I257" i="2" s="1"/>
  <c r="I261" i="2" s="1"/>
  <c r="H256" i="2"/>
  <c r="H257" i="2" s="1"/>
  <c r="H261" i="2" s="1"/>
  <c r="E701" i="2"/>
  <c r="E522" i="2"/>
  <c r="E269" i="2"/>
  <c r="A144" i="2"/>
  <c r="I1125" i="2"/>
  <c r="I722" i="2" l="1"/>
  <c r="I36" i="2" s="1"/>
  <c r="I760" i="2" s="1"/>
  <c r="I582" i="2"/>
  <c r="I581" i="2"/>
  <c r="H612" i="2"/>
  <c r="H615" i="2" s="1"/>
  <c r="H618" i="2" s="1"/>
  <c r="H621" i="2" s="1"/>
  <c r="H691" i="2"/>
  <c r="H722" i="2" s="1"/>
  <c r="I18" i="2"/>
  <c r="I263" i="2"/>
  <c r="I615" i="2"/>
  <c r="I618" i="2" s="1"/>
  <c r="I621" i="2" s="1"/>
  <c r="I61" i="2"/>
  <c r="E912" i="2"/>
  <c r="E914" i="2"/>
  <c r="E906" i="2"/>
  <c r="E918" i="2"/>
  <c r="E523" i="2"/>
  <c r="E507" i="2"/>
  <c r="E513" i="2"/>
  <c r="E518" i="2"/>
  <c r="E512" i="2"/>
  <c r="E365" i="2"/>
  <c r="A145" i="2"/>
  <c r="A146" i="2" s="1"/>
  <c r="A147" i="2" s="1"/>
  <c r="A148" i="2" s="1"/>
  <c r="A149" i="2" s="1"/>
  <c r="I1000" i="2"/>
  <c r="I277" i="2"/>
  <c r="I280" i="2" s="1"/>
  <c r="H997" i="2"/>
  <c r="H998" i="2" s="1"/>
  <c r="H18" i="2"/>
  <c r="H263" i="2"/>
  <c r="G18" i="2" l="1"/>
  <c r="H1000" i="2"/>
  <c r="G1000" i="2" s="1"/>
  <c r="H277" i="2"/>
  <c r="H280" i="2" s="1"/>
  <c r="H283" i="2" s="1"/>
  <c r="H20" i="2" s="1"/>
  <c r="H1064" i="2"/>
  <c r="H1066" i="2"/>
  <c r="H32" i="2"/>
  <c r="G621" i="2"/>
  <c r="H36" i="2"/>
  <c r="G722" i="2"/>
  <c r="G723" i="2" s="1"/>
  <c r="I1066" i="2"/>
  <c r="I1064" i="2"/>
  <c r="I32" i="2"/>
  <c r="E643" i="2"/>
  <c r="E295" i="2"/>
  <c r="E200" i="2"/>
  <c r="A150" i="2"/>
  <c r="I756" i="2" l="1"/>
  <c r="I762" i="2" s="1"/>
  <c r="I57" i="2"/>
  <c r="G1066" i="2"/>
  <c r="G1129" i="2" s="1"/>
  <c r="H1129" i="2"/>
  <c r="G1064" i="2"/>
  <c r="G1127" i="2" s="1"/>
  <c r="E938" i="2"/>
  <c r="E644" i="2"/>
  <c r="E547" i="2"/>
  <c r="E201" i="2"/>
  <c r="E296" i="2"/>
  <c r="A151" i="2"/>
  <c r="I1129" i="2"/>
  <c r="H24" i="2"/>
  <c r="H51" i="2" s="1"/>
  <c r="H760" i="2"/>
  <c r="H61" i="2"/>
  <c r="G61" i="2" s="1"/>
  <c r="G36" i="2"/>
  <c r="G760" i="2" s="1"/>
  <c r="G622" i="2"/>
  <c r="I281" i="2"/>
  <c r="H288" i="2"/>
  <c r="H330" i="2" s="1"/>
  <c r="H756" i="2"/>
  <c r="G32" i="2"/>
  <c r="H57" i="2"/>
  <c r="H285" i="2"/>
  <c r="G282" i="2" l="1"/>
  <c r="I283" i="2"/>
  <c r="H1127" i="2"/>
  <c r="E925" i="2"/>
  <c r="E939" i="2"/>
  <c r="E645" i="2"/>
  <c r="E548" i="2"/>
  <c r="E535" i="2"/>
  <c r="E202" i="2"/>
  <c r="A152" i="2"/>
  <c r="I1127" i="2"/>
  <c r="G57" i="2"/>
  <c r="G756" i="2"/>
  <c r="H762" i="2"/>
  <c r="H76" i="2"/>
  <c r="E646" i="2" l="1"/>
  <c r="E549" i="2"/>
  <c r="E536" i="2"/>
  <c r="E355" i="2"/>
  <c r="E203" i="2"/>
  <c r="A153" i="2"/>
  <c r="E940" i="2" s="1"/>
  <c r="I20" i="2"/>
  <c r="I288" i="2"/>
  <c r="I330" i="2" s="1"/>
  <c r="I285" i="2"/>
  <c r="G762" i="2"/>
  <c r="I764" i="2" l="1"/>
  <c r="I766" i="2" s="1"/>
  <c r="H764" i="2"/>
  <c r="H766" i="2" s="1"/>
  <c r="G766" i="2"/>
  <c r="E926" i="2"/>
  <c r="I24" i="2"/>
  <c r="I51" i="2" s="1"/>
  <c r="G20" i="2"/>
  <c r="G24" i="2" s="1"/>
  <c r="E647" i="2"/>
  <c r="E204" i="2"/>
  <c r="A154" i="2"/>
  <c r="E648" i="2" l="1"/>
  <c r="E205" i="2"/>
  <c r="A155" i="2"/>
  <c r="I76" i="2"/>
  <c r="G51" i="2"/>
  <c r="H769" i="2"/>
  <c r="I770" i="2"/>
  <c r="H770" i="2"/>
  <c r="I769" i="2"/>
  <c r="I858" i="2"/>
  <c r="H858" i="2"/>
  <c r="H839" i="2"/>
  <c r="I813" i="2"/>
  <c r="H810" i="2"/>
  <c r="I800" i="2"/>
  <c r="I801" i="2" s="1"/>
  <c r="I856" i="2"/>
  <c r="H813" i="2"/>
  <c r="H800" i="2"/>
  <c r="H801" i="2" s="1"/>
  <c r="I788" i="2"/>
  <c r="I789" i="2" s="1"/>
  <c r="I790" i="2" s="1"/>
  <c r="H856" i="2"/>
  <c r="H788" i="2"/>
  <c r="H789" i="2" s="1"/>
  <c r="H790" i="2" s="1"/>
  <c r="I832" i="2"/>
  <c r="I833" i="2" s="1"/>
  <c r="H832" i="2"/>
  <c r="H833" i="2" s="1"/>
  <c r="I802" i="2"/>
  <c r="I839" i="2"/>
  <c r="I810" i="2"/>
  <c r="H802" i="2"/>
  <c r="I737" i="2"/>
  <c r="I738" i="2" s="1"/>
  <c r="I38" i="2" s="1"/>
  <c r="H737" i="2"/>
  <c r="H738" i="2" s="1"/>
  <c r="H38" i="2" s="1"/>
  <c r="H804" i="2" l="1"/>
  <c r="I771" i="2"/>
  <c r="I773" i="2" s="1"/>
  <c r="I795" i="2" s="1"/>
  <c r="E649" i="2"/>
  <c r="E206" i="2"/>
  <c r="A156" i="2"/>
  <c r="E550" i="2"/>
  <c r="I804" i="2"/>
  <c r="G804" i="2" s="1"/>
  <c r="E537" i="2"/>
  <c r="H771" i="2"/>
  <c r="H63" i="2"/>
  <c r="G790" i="2"/>
  <c r="E941" i="2"/>
  <c r="I63" i="2"/>
  <c r="G76" i="2"/>
  <c r="E927" i="2"/>
  <c r="I827" i="2" l="1"/>
  <c r="I835" i="2" s="1"/>
  <c r="I806" i="2"/>
  <c r="I811" i="2" s="1"/>
  <c r="I812" i="2" s="1"/>
  <c r="I814" i="2" s="1"/>
  <c r="I816" i="2" s="1"/>
  <c r="I819" i="2" s="1"/>
  <c r="E942" i="2"/>
  <c r="E650" i="2"/>
  <c r="E551" i="2"/>
  <c r="E207" i="2"/>
  <c r="A157" i="2"/>
  <c r="G771" i="2"/>
  <c r="H773" i="2"/>
  <c r="I852" i="2"/>
  <c r="I857" i="2" s="1"/>
  <c r="I859" i="2" s="1"/>
  <c r="I861" i="2" s="1"/>
  <c r="I840" i="2"/>
  <c r="I842" i="2" s="1"/>
  <c r="I845" i="2" s="1"/>
  <c r="I775" i="2" l="1"/>
  <c r="I777" i="2" s="1"/>
  <c r="I779" i="2" s="1"/>
  <c r="G773" i="2"/>
  <c r="H795" i="2"/>
  <c r="H827" i="2"/>
  <c r="E651" i="2"/>
  <c r="E208" i="2"/>
  <c r="A158" i="2"/>
  <c r="E944" i="2" l="1"/>
  <c r="E929" i="2"/>
  <c r="E652" i="2"/>
  <c r="E539" i="2"/>
  <c r="E553" i="2"/>
  <c r="E209" i="2"/>
  <c r="A159" i="2"/>
  <c r="G827" i="2"/>
  <c r="H835" i="2"/>
  <c r="H806" i="2"/>
  <c r="G795" i="2"/>
  <c r="E930" i="2" l="1"/>
  <c r="E653" i="2"/>
  <c r="E540" i="2"/>
  <c r="E210" i="2"/>
  <c r="A160" i="2"/>
  <c r="H811" i="2"/>
  <c r="G806" i="2"/>
  <c r="H852" i="2"/>
  <c r="H857" i="2" s="1"/>
  <c r="H840" i="2"/>
  <c r="G835" i="2"/>
  <c r="G852" i="2" s="1"/>
  <c r="H859" i="2" l="1"/>
  <c r="G857" i="2"/>
  <c r="G811" i="2"/>
  <c r="H812" i="2"/>
  <c r="E943" i="2"/>
  <c r="E928" i="2"/>
  <c r="E552" i="2"/>
  <c r="E654" i="2"/>
  <c r="E538" i="2"/>
  <c r="E211" i="2"/>
  <c r="A161" i="2"/>
  <c r="A162" i="2" s="1"/>
  <c r="H842" i="2"/>
  <c r="G840" i="2"/>
  <c r="G859" i="2" l="1"/>
  <c r="H861" i="2"/>
  <c r="H845" i="2"/>
  <c r="G842" i="2"/>
  <c r="H814" i="2"/>
  <c r="G812" i="2"/>
  <c r="E945" i="2"/>
  <c r="E937" i="2"/>
  <c r="E923" i="2"/>
  <c r="E932" i="2"/>
  <c r="E702" i="2"/>
  <c r="E541" i="2"/>
  <c r="E533" i="2"/>
  <c r="E554" i="2"/>
  <c r="E546" i="2"/>
  <c r="E542" i="2"/>
  <c r="E366" i="2"/>
  <c r="E270" i="2"/>
  <c r="A163" i="2"/>
  <c r="A164" i="2" s="1"/>
  <c r="A165" i="2" s="1"/>
  <c r="G861" i="2" l="1"/>
  <c r="G814" i="2"/>
  <c r="H816" i="2"/>
  <c r="H846" i="2"/>
  <c r="I847" i="2"/>
  <c r="H847" i="2"/>
  <c r="I846" i="2"/>
  <c r="E659" i="2"/>
  <c r="E297" i="2"/>
  <c r="A166" i="2"/>
  <c r="E217" i="2"/>
  <c r="G845" i="2"/>
  <c r="H848" i="2" l="1"/>
  <c r="H747" i="2"/>
  <c r="I848" i="2"/>
  <c r="I747" i="2" s="1"/>
  <c r="H819" i="2"/>
  <c r="G816" i="2"/>
  <c r="E660" i="2"/>
  <c r="A167" i="2"/>
  <c r="E298" i="2"/>
  <c r="E218" i="2"/>
  <c r="G848" i="2" l="1"/>
  <c r="H862" i="2" s="1"/>
  <c r="I863" i="2"/>
  <c r="I862" i="2"/>
  <c r="H863" i="2"/>
  <c r="E661" i="2"/>
  <c r="E219" i="2"/>
  <c r="A168" i="2"/>
  <c r="I820" i="2"/>
  <c r="H820" i="2"/>
  <c r="I821" i="2"/>
  <c r="H821" i="2"/>
  <c r="G819" i="2"/>
  <c r="H775" i="2"/>
  <c r="G747" i="2"/>
  <c r="H864" i="2" l="1"/>
  <c r="H823" i="2"/>
  <c r="H748" i="2"/>
  <c r="I823" i="2"/>
  <c r="I748" i="2" s="1"/>
  <c r="E662" i="2"/>
  <c r="E220" i="2"/>
  <c r="A169" i="2"/>
  <c r="G775" i="2"/>
  <c r="H777" i="2"/>
  <c r="I864" i="2"/>
  <c r="I749" i="2" s="1"/>
  <c r="G864" i="2"/>
  <c r="H749" i="2"/>
  <c r="G749" i="2" s="1"/>
  <c r="G823" i="2" l="1"/>
  <c r="G777" i="2"/>
  <c r="H779" i="2"/>
  <c r="E663" i="2"/>
  <c r="A170" i="2"/>
  <c r="E221" i="2"/>
  <c r="I750" i="2"/>
  <c r="I41" i="2" s="1"/>
  <c r="I66" i="2" s="1"/>
  <c r="G748" i="2"/>
  <c r="G750" i="2" s="1"/>
  <c r="H750" i="2"/>
  <c r="H41" i="2" s="1"/>
  <c r="G41" i="2" l="1"/>
  <c r="H66" i="2"/>
  <c r="G66" i="2" s="1"/>
  <c r="E664" i="2"/>
  <c r="A171" i="2"/>
  <c r="E222" i="2"/>
  <c r="G779" i="2"/>
  <c r="I780" i="2" l="1"/>
  <c r="H780" i="2"/>
  <c r="I781" i="2"/>
  <c r="H781" i="2"/>
  <c r="E665" i="2"/>
  <c r="E223" i="2"/>
  <c r="A172" i="2"/>
  <c r="E666" i="2" l="1"/>
  <c r="E224" i="2"/>
  <c r="A173" i="2"/>
  <c r="H783" i="2"/>
  <c r="I783" i="2"/>
  <c r="I792" i="2" s="1"/>
  <c r="I744" i="2" s="1"/>
  <c r="I40" i="2" s="1"/>
  <c r="I65" i="2" l="1"/>
  <c r="I67" i="2" s="1"/>
  <c r="I68" i="2" s="1"/>
  <c r="I70" i="2" s="1"/>
  <c r="I42" i="2"/>
  <c r="I43" i="2" s="1"/>
  <c r="I45" i="2" s="1"/>
  <c r="I47" i="2" s="1"/>
  <c r="G783" i="2"/>
  <c r="H792" i="2"/>
  <c r="E667" i="2"/>
  <c r="A174" i="2"/>
  <c r="E225" i="2"/>
  <c r="E668" i="2" l="1"/>
  <c r="A175" i="2"/>
  <c r="A176" i="2" s="1"/>
  <c r="E226" i="2"/>
  <c r="G792" i="2"/>
  <c r="H744" i="2"/>
  <c r="I71" i="2"/>
  <c r="I77" i="2"/>
  <c r="I79" i="2" s="1"/>
  <c r="I83" i="2" s="1"/>
  <c r="I87" i="2" l="1"/>
  <c r="I89" i="2"/>
  <c r="G744" i="2"/>
  <c r="H40" i="2"/>
  <c r="E995" i="2"/>
  <c r="E703" i="2"/>
  <c r="E614" i="2"/>
  <c r="E617" i="2"/>
  <c r="A177" i="2"/>
  <c r="A178" i="2" s="1"/>
  <c r="H65" i="2" l="1"/>
  <c r="G40" i="2"/>
  <c r="G42" i="2" s="1"/>
  <c r="G43" i="2" s="1"/>
  <c r="G45" i="2" s="1"/>
  <c r="G47" i="2" s="1"/>
  <c r="H42" i="2"/>
  <c r="H43" i="2" s="1"/>
  <c r="H45" i="2" s="1"/>
  <c r="H47" i="2" s="1"/>
  <c r="E985" i="2"/>
  <c r="E983" i="2"/>
  <c r="E604" i="2"/>
  <c r="E271" i="2"/>
  <c r="A179" i="2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E353" i="2" l="1"/>
  <c r="A489" i="2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G65" i="2"/>
  <c r="G67" i="2" s="1"/>
  <c r="G68" i="2" s="1"/>
  <c r="G70" i="2" s="1"/>
  <c r="G71" i="2" s="1"/>
  <c r="H67" i="2"/>
  <c r="H68" i="2" s="1"/>
  <c r="H70" i="2" s="1"/>
  <c r="H71" i="2" l="1"/>
  <c r="H77" i="2"/>
  <c r="A514" i="2"/>
  <c r="A515" i="2" s="1"/>
  <c r="A516" i="2" s="1"/>
  <c r="A517" i="2" s="1"/>
  <c r="A518" i="2" s="1"/>
  <c r="A519" i="2" s="1"/>
  <c r="A520" i="2" s="1"/>
  <c r="E371" i="2"/>
  <c r="A521" i="2" l="1"/>
  <c r="H79" i="2"/>
  <c r="H83" i="2" s="1"/>
  <c r="G77" i="2"/>
  <c r="G79" i="2" s="1"/>
  <c r="H87" i="2" l="1"/>
  <c r="G83" i="2"/>
  <c r="H89" i="2"/>
  <c r="G89" i="2" s="1"/>
  <c r="E911" i="2"/>
  <c r="E931" i="2" l="1"/>
  <c r="G87" i="2"/>
  <c r="G81" i="2"/>
  <c r="E564" i="2" l="1"/>
  <c r="E959" i="2" l="1"/>
  <c r="E573" i="2"/>
  <c r="E960" i="2" l="1"/>
  <c r="E965" i="2" l="1"/>
  <c r="E281" i="2" l="1"/>
  <c r="E674" i="2" l="1"/>
  <c r="E274" i="2" l="1"/>
  <c r="E764" i="2" l="1"/>
  <c r="E802" i="2" l="1"/>
  <c r="E737" i="2"/>
  <c r="E800" i="2"/>
  <c r="E788" i="2"/>
  <c r="E832" i="2"/>
  <c r="E827" i="2" l="1"/>
  <c r="E795" i="2"/>
  <c r="E780" i="2" l="1"/>
  <c r="E781" i="2"/>
  <c r="E744" i="2" l="1"/>
  <c r="E820" i="2" l="1"/>
  <c r="E821" i="2" l="1"/>
  <c r="E748" i="2" l="1"/>
  <c r="E846" i="2" l="1"/>
  <c r="E847" i="2" l="1"/>
  <c r="E863" i="2" l="1"/>
  <c r="E862" i="2"/>
  <c r="E747" i="2"/>
  <c r="E749" i="2" l="1"/>
  <c r="E869" i="2" l="1"/>
  <c r="E416" i="2"/>
  <c r="E876" i="2" l="1"/>
  <c r="E434" i="2"/>
  <c r="E884" i="2" l="1"/>
  <c r="E450" i="2"/>
  <c r="E890" i="2" l="1"/>
  <c r="E467" i="2"/>
  <c r="E950" i="2" l="1"/>
  <c r="E560" i="2"/>
  <c r="E954" i="2"/>
  <c r="E958" i="2" l="1"/>
  <c r="E961" i="2"/>
  <c r="E567" i="2" l="1"/>
  <c r="E27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kkr6787</author>
    <author>jcb0223</author>
  </authors>
  <commentList>
    <comment ref="E156" authorId="0" shapeId="0" xr:uid="{E7E7A02F-0800-4094-90CB-2EEB1185141A}">
      <text>
        <r>
          <rPr>
            <b/>
            <sz val="8"/>
            <color indexed="81"/>
            <rFont val="Tahoma"/>
            <family val="2"/>
          </rPr>
          <t>change to D60</t>
        </r>
      </text>
    </comment>
    <comment ref="B232" authorId="1" shapeId="0" xr:uid="{A8B4D0BE-1C45-41A2-B047-698FACAD67A4}">
      <text>
        <r>
          <rPr>
            <b/>
            <sz val="8"/>
            <color rgb="FF000000"/>
            <rFont val="Tahoma"/>
            <family val="2"/>
          </rPr>
          <t xml:space="preserve">Currently, all adjustments are  Steam Plant-related.  If this changes, the allocation string may need to change
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<sst xmlns="http://schemas.openxmlformats.org/spreadsheetml/2006/main" count="2420" uniqueCount="655">
  <si>
    <t>IDAHO POWER COMPANY</t>
  </si>
  <si>
    <t>TOTAL</t>
  </si>
  <si>
    <t>SYSTEM</t>
  </si>
  <si>
    <t>DESCRIPTION</t>
  </si>
  <si>
    <t>DEVELOPMENT OF RATE BASE COMPONENTS</t>
  </si>
  <si>
    <t/>
  </si>
  <si>
    <t>ELECTRIC PLANT IN SERVICE</t>
  </si>
  <si>
    <t>LESS: ACCUM PROVISION FOR DEPRECIATION</t>
  </si>
  <si>
    <t xml:space="preserve">           AMORT OF OTHER UTILITY PLANT</t>
  </si>
  <si>
    <t>NET ELECTRIC PLANT IN SERVICE</t>
  </si>
  <si>
    <t>LESS: CUSTOMER ADV FOR CONSTRUCTION</t>
  </si>
  <si>
    <t>LESS: ACCUM DEFERRED INCOME TAXES</t>
  </si>
  <si>
    <t>ADD : PLT HLD FOR FUTURE+ACQUIS ADJ</t>
  </si>
  <si>
    <t>ADD : WORKING CAPITAL</t>
  </si>
  <si>
    <t>ADD : CONSERVATION+OTHER DFRD PROG.</t>
  </si>
  <si>
    <t>ADD : SUBSIDIARY RATE BASE</t>
  </si>
  <si>
    <t>TOTAL COMBINED  RATE BASE</t>
  </si>
  <si>
    <t>RATE OF RETURN UNDER PRESENT RATES</t>
  </si>
  <si>
    <t>OPERATING REVENUES</t>
  </si>
  <si>
    <t xml:space="preserve">  SALES REVENUES</t>
  </si>
  <si>
    <t xml:space="preserve">  OTHER OPERATING REVENUES</t>
  </si>
  <si>
    <t xml:space="preserve">  TOTAL OPERATING REVENUES</t>
  </si>
  <si>
    <t>OPERATING EXPENSES</t>
  </si>
  <si>
    <t xml:space="preserve"> OPERATION &amp; MAINTENANCE EXPENSES</t>
  </si>
  <si>
    <t xml:space="preserve"> DEPRECIATION EXPENSE</t>
  </si>
  <si>
    <t xml:space="preserve"> AMORTIZATION OF LIMITED TERM PLANT</t>
  </si>
  <si>
    <t xml:space="preserve"> ACCRETION EXPENSE</t>
  </si>
  <si>
    <t xml:space="preserve"> TAXES OTHER THAN INCOME</t>
  </si>
  <si>
    <t xml:space="preserve"> REGULATORY DEBITS/CREDITS</t>
  </si>
  <si>
    <t xml:space="preserve"> PROVISION FOR DEFERRED INCOME TAXES</t>
  </si>
  <si>
    <t xml:space="preserve"> INVESTMENT TAX CREDIT ADJUSTMENT</t>
  </si>
  <si>
    <t xml:space="preserve"> FEDERAL INCOME TAXES</t>
  </si>
  <si>
    <t xml:space="preserve"> STATE INCOME TAXES</t>
  </si>
  <si>
    <t>TOTAL OPERATING EXPENSES</t>
  </si>
  <si>
    <t>OPERATING INCOME</t>
  </si>
  <si>
    <t xml:space="preserve">  </t>
  </si>
  <si>
    <t>ADD:  IERCO OPERATING INCOME</t>
  </si>
  <si>
    <t>CONSOLIDATED OPERATING INCOME</t>
  </si>
  <si>
    <t>TOTAL COMBINED RATE BASE</t>
  </si>
  <si>
    <t xml:space="preserve"> </t>
  </si>
  <si>
    <t>DEVELOPMENT OF REVENUE REQUIREMENTS</t>
  </si>
  <si>
    <t>RATE OF RETURN REQUIRED (BASED ON 9.9% ROE)</t>
  </si>
  <si>
    <t>RETURN AT CLAIMED RATE OF RETURN</t>
  </si>
  <si>
    <t>EARNINGS DEFICIENCY</t>
  </si>
  <si>
    <t xml:space="preserve">   ADD:  CWIP (RELICENSING)</t>
  </si>
  <si>
    <t>DEFICIENCY WITH CWIP</t>
  </si>
  <si>
    <t>NET-TO-GROSS TAX MULTIPLIER</t>
  </si>
  <si>
    <t>REVENUE DEFICIENCY</t>
  </si>
  <si>
    <t>FIRM JURISDICTIONAL REVENUES</t>
  </si>
  <si>
    <t>PERCENT INCREASE REQUIRED</t>
  </si>
  <si>
    <t>SALES AND WHEELING REVENUES REQUIRED</t>
  </si>
  <si>
    <t>INTANGIBLE PLANT</t>
  </si>
  <si>
    <t>301 - ORGANIZATION</t>
  </si>
  <si>
    <t>302 - FRANCHISES &amp; CONSENTS</t>
  </si>
  <si>
    <t>303 - MISCELLANEOUS</t>
  </si>
  <si>
    <t>TOTAL INTANGIBLE PLANT</t>
  </si>
  <si>
    <t>PRODUCTION PLANT</t>
  </si>
  <si>
    <t>310-316 / STEAM PRODUCTION</t>
  </si>
  <si>
    <t>330-336 / HYDRAULIC PRODUCTION</t>
  </si>
  <si>
    <t>340-346 / OTHER PRODUCTION - LANGLEY</t>
  </si>
  <si>
    <t>340-346 / OTHER PRODUCTION - DANSKIN/BENNETT MTN</t>
  </si>
  <si>
    <t>TOTAL PRODUCTION PLANT</t>
  </si>
  <si>
    <t>TRANSMISSION PLANT</t>
  </si>
  <si>
    <t>350 / LAND &amp; LAND RIGHTS</t>
  </si>
  <si>
    <t>DIRECT ASSIGNMENT</t>
  </si>
  <si>
    <t xml:space="preserve">  TOTAL ACCOUNT 350</t>
  </si>
  <si>
    <t>352 / STRUCTURES &amp; IMPROVEMENTS</t>
  </si>
  <si>
    <t xml:space="preserve">  TOTAL ACCOUNT 352</t>
  </si>
  <si>
    <t>353 / STATION EQUIPMENT</t>
  </si>
  <si>
    <t xml:space="preserve">  TOTAL ACCOUNT 353</t>
  </si>
  <si>
    <t>354 / TOWERS &amp; FIXTURES</t>
  </si>
  <si>
    <t xml:space="preserve">  TOTAL ACCOUNT 354</t>
  </si>
  <si>
    <t>355 / POLES &amp; FIXTURES</t>
  </si>
  <si>
    <t xml:space="preserve">  TOTAL ACCOUNT 355</t>
  </si>
  <si>
    <t>356 / OVERHEAD CONDUCTORS &amp; DEVICES</t>
  </si>
  <si>
    <t xml:space="preserve">  TOTAL ACCOUNT 356</t>
  </si>
  <si>
    <t>359 / ROADS &amp; TRAILS</t>
  </si>
  <si>
    <t xml:space="preserve">  TOTAL ACCOUNT 359</t>
  </si>
  <si>
    <t>TOTAL TRANSMISSION PLANT</t>
  </si>
  <si>
    <t>DISTRIBUTION PLANT</t>
  </si>
  <si>
    <t>360 / LAND &amp; LAND RIGHTS</t>
  </si>
  <si>
    <t>361 / STRUCTURES &amp; IMPROVEMENTS</t>
  </si>
  <si>
    <t>362 / STATION EQUIPMENT</t>
  </si>
  <si>
    <t>364 / POLES, TOWERS &amp; FIXTURES</t>
  </si>
  <si>
    <t>365 / OVERHEAD CONDUCTORS &amp; DEVICES</t>
  </si>
  <si>
    <t>366 / UNDERGROUND CONDUIT</t>
  </si>
  <si>
    <t>367 / UNDERGROUND CONDUCTORS &amp; DEVICES</t>
  </si>
  <si>
    <t>368 / LINE TRANSFORMERS</t>
  </si>
  <si>
    <t>369 / SERVICES</t>
  </si>
  <si>
    <t>370 / METERS</t>
  </si>
  <si>
    <t>371 / INSTALLATIONS ON CUSTOMER PREMISES</t>
  </si>
  <si>
    <t>373 / STREET LIGHTING SYSTEMS</t>
  </si>
  <si>
    <t>TOTAL DISTRIBUTION PLANT</t>
  </si>
  <si>
    <t>GENERAL PLANT</t>
  </si>
  <si>
    <t>389 / LAND &amp; LAND RIGHTS</t>
  </si>
  <si>
    <t>390 / STRUCTURES &amp; IMPROVEMENTS</t>
  </si>
  <si>
    <t>391 / OFFICE FURNITURE &amp; EQUIPMENT</t>
  </si>
  <si>
    <t>392 / TRANSPORTATION EQUIPMENT</t>
  </si>
  <si>
    <t>393 / STORES EQUIPMENT</t>
  </si>
  <si>
    <t>394 / TOOLS, SHOP &amp; GARAGE EQUIPMENT</t>
  </si>
  <si>
    <t>395 / LABORATORY EQUIPMENT</t>
  </si>
  <si>
    <t>396 / POWER OPERATED EQUIPMENT</t>
  </si>
  <si>
    <t>397 / COMMUNICATIONS EQUIPMENT</t>
  </si>
  <si>
    <t>398 / MISCELLANEOUS EQUIPMENT</t>
  </si>
  <si>
    <t>TOTAL GENERAL PLANT</t>
  </si>
  <si>
    <t>TOTAL ELECTRIC PLANT IN SERVICE</t>
  </si>
  <si>
    <t>UNDER- /OVERALLOCATED SALVAGE</t>
  </si>
  <si>
    <t>TOTAL DEPR BEFORE FAS 143 / OTHER</t>
  </si>
  <si>
    <t>FAS 143 ADJ &amp;/OR DISALLOWED COSTS</t>
  </si>
  <si>
    <t>TOTAL ACCUM PROVISION DEPRECIATION</t>
  </si>
  <si>
    <t>AMORTIZATION OF OTHER UTILITY PLANT</t>
  </si>
  <si>
    <t>HYDRAULIC PRODUCTION</t>
  </si>
  <si>
    <t>TOTAL AMORT OF OTHER UTILITY PLANT</t>
  </si>
  <si>
    <t>TOTAL ACCUM PROVISION FOR DEPR</t>
  </si>
  <si>
    <t xml:space="preserve">  &amp; AMORTIZATION OF OTHER UTILITY PLANT</t>
  </si>
  <si>
    <t>NET  ELECTRIC PLANT IN SERVICE</t>
  </si>
  <si>
    <t>LESS:</t>
  </si>
  <si>
    <t>252 CUSTOMER ADVANCES FOR CONSTRUCTION</t>
  </si>
  <si>
    <t>POWER SUPPLY</t>
  </si>
  <si>
    <t>OTHER</t>
  </si>
  <si>
    <t>TOTAL CUSTOMER ADV FOR CONSTRUCTION</t>
  </si>
  <si>
    <t>ACCUMULATED DEFERRED INCOME TAXES</t>
  </si>
  <si>
    <t>190 / ACCUMULATED DEFERRED INCOME TAXES</t>
  </si>
  <si>
    <t xml:space="preserve">  CUSTOMER ADVANCES FOR CONSTRUCTION</t>
  </si>
  <si>
    <t xml:space="preserve">  OTHER</t>
  </si>
  <si>
    <t>TOTAL ACCOUNT 190</t>
  </si>
  <si>
    <t>281 / ACCELERATED AMORTIZATION</t>
  </si>
  <si>
    <t>282 / OTHER PROPERTY</t>
  </si>
  <si>
    <t>283 / OTHER</t>
  </si>
  <si>
    <t>TOTAL ACCUM DEFERRED INCOME TAXES</t>
  </si>
  <si>
    <t>ADD:</t>
  </si>
  <si>
    <t>WORKING CAPITAL</t>
  </si>
  <si>
    <t>151 / FUEL INVENTORY</t>
  </si>
  <si>
    <t>154 / PLANT MATERIALS &amp; SUPPLIES</t>
  </si>
  <si>
    <t xml:space="preserve">   PRODUCTION - GENERAL</t>
  </si>
  <si>
    <t xml:space="preserve">   TRANSMISSION - GENERAL</t>
  </si>
  <si>
    <t xml:space="preserve">   DISTRIBUTION - GENERAL</t>
  </si>
  <si>
    <t xml:space="preserve">   OTHER - UNCLASSIFIED</t>
  </si>
  <si>
    <t>TOTAL ACCOUNT 154</t>
  </si>
  <si>
    <t>165 / PREPAID ITEMS</t>
  </si>
  <si>
    <t xml:space="preserve">   AD VALOREM TAXES</t>
  </si>
  <si>
    <t xml:space="preserve">   OTHER PROD-RELATED PREPAYMENTS</t>
  </si>
  <si>
    <t xml:space="preserve">   INSURANCE</t>
  </si>
  <si>
    <t xml:space="preserve">   PENSION-RELATED PREPAYMENTS</t>
  </si>
  <si>
    <t xml:space="preserve">   SOFTWARE CONTRACTS</t>
  </si>
  <si>
    <t xml:space="preserve">   MISCELLANEOUS PREPAYMENTS</t>
  </si>
  <si>
    <t>TOTAL ACCOUNT 165</t>
  </si>
  <si>
    <t>WORKING CASH ALLOWANCE</t>
  </si>
  <si>
    <t>TOTAL WORKING CAPITAL</t>
  </si>
  <si>
    <t>105 / PLANT HELD FOR FUTURE USE</t>
  </si>
  <si>
    <t xml:space="preserve">   HYDRAULIC PRODUCTION</t>
  </si>
  <si>
    <t xml:space="preserve">   TRANS LAND &amp; LAND RIGHTS</t>
  </si>
  <si>
    <t xml:space="preserve">   TRANS STRUCTURES &amp; IMPROVEMENTS</t>
  </si>
  <si>
    <t xml:space="preserve">   TRANS STATION EQUIPMENT</t>
  </si>
  <si>
    <t xml:space="preserve">   DIST LAND &amp; LAND RIGHTS</t>
  </si>
  <si>
    <t xml:space="preserve">   DIST STRUCTURES &amp; IMPROVEMENTS</t>
  </si>
  <si>
    <t xml:space="preserve">   GEN LAND &amp; LAND RIGHTS</t>
  </si>
  <si>
    <t xml:space="preserve">   GEN STRUCTURES &amp; IMPROVEMENTS</t>
  </si>
  <si>
    <t>TOTAL PLANT HELD FOR FUTURE USE</t>
  </si>
  <si>
    <t>ELECTRIC PLANT ACQUISITION ADJ.-114/5</t>
  </si>
  <si>
    <t>DEFERRED PROGRAMS:</t>
  </si>
  <si>
    <t>182 /  CONSERVATION PROGRAMS</t>
  </si>
  <si>
    <t>IDAHO DEFERRED CONSERVATION PROGRAMS</t>
  </si>
  <si>
    <t>OREGON DEFERRED CONSERVATION PROGRAMS</t>
  </si>
  <si>
    <t xml:space="preserve">   TOTAL CONSERVATION PROGRAMS</t>
  </si>
  <si>
    <t>182 / MISC. OTHER REGULATORY ASSETS</t>
  </si>
  <si>
    <t>CUB FUND INTEREST - OPUC ORDER 15-399</t>
  </si>
  <si>
    <t>SFAS 87 CAPITALIZED PENSION - OPUC ORDER 10-064</t>
  </si>
  <si>
    <t>CLOUD COMPUTING - IPUC ORDER 34707</t>
  </si>
  <si>
    <t>LIDAR SURVEY - IPUC ORDER 32426</t>
  </si>
  <si>
    <t>SIEMENS LTP DEFERRED RATE BASE - IPUC ORDER 33420</t>
  </si>
  <si>
    <t>SIEMENS LTP RATE BASE - IPUC ORDER 33420</t>
  </si>
  <si>
    <t>SIEMENS LTP DEFERRED RATE BASE - OPUC ORDER 15-387</t>
  </si>
  <si>
    <t>SIEMENS LTP RATE BASE - OPUC ORDER 15-387</t>
  </si>
  <si>
    <t xml:space="preserve">  TOTAL OTHER REGULATORY ASSETS</t>
  </si>
  <si>
    <t>186 / MISC. OTHER DEFERRED PROGRAMS</t>
  </si>
  <si>
    <t>RECONNECT FEES - OPUC ADV 16-09</t>
  </si>
  <si>
    <t>TOTAL DEFERRED PROGRAMS</t>
  </si>
  <si>
    <t>DEVELOPMENT OF IERCO RATE BASE</t>
  </si>
  <si>
    <t>INVESTMENT IN IERCO</t>
  </si>
  <si>
    <t>PREPAID COAL ROYALTIES</t>
  </si>
  <si>
    <t>NOTES RECEIVABLE FROM SUBSIDIARY</t>
  </si>
  <si>
    <t>TOTAL SUBSIDIARY RATE BASE</t>
  </si>
  <si>
    <t>FIRM ENERGY SALES</t>
  </si>
  <si>
    <t>440-448 / RETAIL</t>
  </si>
  <si>
    <t>TOTAL SALES OF ELECTRICITY</t>
  </si>
  <si>
    <t>OTHER OPERATING REVENUES</t>
  </si>
  <si>
    <t>415 / MERCHANDISING REVENUES</t>
  </si>
  <si>
    <t>449 / OATT TARIFF REFUND</t>
  </si>
  <si>
    <t>NETWORK</t>
  </si>
  <si>
    <t>POINT-TO-POINT</t>
  </si>
  <si>
    <t>TOTAL ACCOUNT 449</t>
  </si>
  <si>
    <t>451 / MISCELLANEOUS SERVICE REVENUES</t>
  </si>
  <si>
    <t>454 / RENTS FROM ELECTRIC PROPERTY</t>
  </si>
  <si>
    <t xml:space="preserve">  SUBSTATION EQUIPMENT</t>
  </si>
  <si>
    <t xml:space="preserve">  TRANSFORMER RENTALS</t>
  </si>
  <si>
    <t xml:space="preserve">  LINE RENTALS</t>
  </si>
  <si>
    <t xml:space="preserve">  COGENERATION</t>
  </si>
  <si>
    <t xml:space="preserve">  DARK FIBER PROJECT</t>
  </si>
  <si>
    <t xml:space="preserve">  POLE ATTACHMENTS</t>
  </si>
  <si>
    <t xml:space="preserve">  FACILITIES CHARGES</t>
  </si>
  <si>
    <t xml:space="preserve">  OTHER RENTALS</t>
  </si>
  <si>
    <t xml:space="preserve">  WATER LEASE</t>
  </si>
  <si>
    <t>TOTAL ACCOUNT 454</t>
  </si>
  <si>
    <t>456 / OTHER ELECTRIC REVENUES</t>
  </si>
  <si>
    <t xml:space="preserve">  TRANSMISSION - NETWORK SERVICES</t>
  </si>
  <si>
    <t xml:space="preserve">  TRANSMISSION - NETWORK SERVICES - DIST FACILITIES</t>
  </si>
  <si>
    <t xml:space="preserve">  TRANSMISSION - POINT-TO-POINT</t>
  </si>
  <si>
    <t xml:space="preserve">  ALTERNATE TRANSMISSION SERV. CHG.</t>
  </si>
  <si>
    <t xml:space="preserve">  PHOTOVOLTAIC STATION SERVICE</t>
  </si>
  <si>
    <t xml:space="preserve">  DSM RIDER FUNDS</t>
  </si>
  <si>
    <t xml:space="preserve">  STANDBY SERVICE CHARGE</t>
  </si>
  <si>
    <t xml:space="preserve">  SIERRA PACIFIC USAGE CHARGE</t>
  </si>
  <si>
    <t xml:space="preserve">  BPA - OTHER REVENUE</t>
  </si>
  <si>
    <t xml:space="preserve">  ANTELOPE</t>
  </si>
  <si>
    <t xml:space="preserve">  MISCELLANEOUS</t>
  </si>
  <si>
    <t>TOTAL ACCOUNT 456</t>
  </si>
  <si>
    <t>TOTAL OTHER OPERATING REVENUES</t>
  </si>
  <si>
    <t>TOTAL OPERATING REVENUES</t>
  </si>
  <si>
    <t>STEAM POWER GENERATION</t>
  </si>
  <si>
    <t>OPERATION</t>
  </si>
  <si>
    <t>500 / SUPERVISION &amp; ENGINEERING</t>
  </si>
  <si>
    <t>501 / FUEL</t>
  </si>
  <si>
    <t>502 / STEAM EXPENSES</t>
  </si>
  <si>
    <t xml:space="preserve">   LABOR</t>
  </si>
  <si>
    <t xml:space="preserve">   OTHER</t>
  </si>
  <si>
    <t>TOTAL ACCOUNT 502</t>
  </si>
  <si>
    <t>505 / ELECTRIC EXPENSES</t>
  </si>
  <si>
    <t>TOTAL ACCOUNT 505</t>
  </si>
  <si>
    <t>506 / MISCELLANEOUS EXPENSES</t>
  </si>
  <si>
    <t>507 / RENTS</t>
  </si>
  <si>
    <t>TOTAL STEAM OPERATION EXPENSES</t>
  </si>
  <si>
    <t>MAINTENANCE</t>
  </si>
  <si>
    <t>510 / SUPERVISION &amp; ENGINEERING</t>
  </si>
  <si>
    <t>511  / STRUCTURES</t>
  </si>
  <si>
    <t>512 / BOILER PLANT</t>
  </si>
  <si>
    <t>TOTAL ACCOUNT 512</t>
  </si>
  <si>
    <t>513 / ELECTRIC PLANT</t>
  </si>
  <si>
    <t>TOTAL ACCOUNT 513</t>
  </si>
  <si>
    <t>514 / MISCELLANEOUS STEAM PLANT</t>
  </si>
  <si>
    <t>TOTAL STEAM MAINTENANCE EXPENSES</t>
  </si>
  <si>
    <t>TOTAL STEAM GENERATION EXPENSES</t>
  </si>
  <si>
    <t>HYDRAULIC POWER GENERATION</t>
  </si>
  <si>
    <t>535 / SUPERVISION &amp; ENGINEERING</t>
  </si>
  <si>
    <t>536 / WATER FOR POWER</t>
  </si>
  <si>
    <t xml:space="preserve">   WATER LEASE</t>
  </si>
  <si>
    <t>TOTAL ACCOUNT 536</t>
  </si>
  <si>
    <t>537 / HYDRAULIC EXPENSES</t>
  </si>
  <si>
    <t>538 / ELECTRIC EXPENSES</t>
  </si>
  <si>
    <t>TOTAL ACCOUNT 538</t>
  </si>
  <si>
    <t>539 / MISCELLANEOUS EXPENSES</t>
  </si>
  <si>
    <t>540 / RENTS</t>
  </si>
  <si>
    <t>TOTAL HYDRAULIC OPERATION EXPENSES</t>
  </si>
  <si>
    <t>541 / SUPERVISION &amp; ENGINEERING</t>
  </si>
  <si>
    <t>542 / STRUCTURES</t>
  </si>
  <si>
    <t>543 / RESERVOIRS, DAMS &amp; WATERWAYS</t>
  </si>
  <si>
    <t>544 / ELECTRIC PLANT</t>
  </si>
  <si>
    <t>TOTAL ACCOUNT 544</t>
  </si>
  <si>
    <t>545 / MISCELLANEOUS HYDRAULIC PLANT</t>
  </si>
  <si>
    <t>TOTAL HYDRAULIC MAINTENANCE EXPENSES</t>
  </si>
  <si>
    <t>TOTAL HYDRAULIC GENERATION EXPENSES</t>
  </si>
  <si>
    <t>OTHER POWER GENERATION</t>
  </si>
  <si>
    <t>546 / SUPERVISION &amp; ENGINEERING</t>
  </si>
  <si>
    <t>547 / FUEL</t>
  </si>
  <si>
    <t xml:space="preserve">   SALMON DIESEL</t>
  </si>
  <si>
    <t>TOTAL ACCOUNT 547</t>
  </si>
  <si>
    <t>548 / GENERATING EXPENSES</t>
  </si>
  <si>
    <t>TOTAL ACCOUNT 548</t>
  </si>
  <si>
    <t>549 / MISCELLANEOUS EXPENSES</t>
  </si>
  <si>
    <t>550 / RENTS</t>
  </si>
  <si>
    <t>TOTAL OTHER POWER OPER EXPENSES</t>
  </si>
  <si>
    <t>551 / SUPERVISION &amp; ENGINEERING</t>
  </si>
  <si>
    <t>552 / STRUCTURES</t>
  </si>
  <si>
    <t>553 / GENERATING &amp; ELECTRIC PLANT</t>
  </si>
  <si>
    <t>TOTAL ACCOUNT 553</t>
  </si>
  <si>
    <t>554 / MISCELLANEOUS EXPENSES</t>
  </si>
  <si>
    <t>TOTAL OTHER POWER MAINT EXPENSES</t>
  </si>
  <si>
    <t>TOTAL OTHER POWER GENERATION EXP</t>
  </si>
  <si>
    <t>OTHER POWER SUPPLY EXPENSE</t>
  </si>
  <si>
    <t xml:space="preserve">   PURCHASED POWER - TRANS LOSSES</t>
  </si>
  <si>
    <t xml:space="preserve">   DEMAND RESPONSE INCENTIVES</t>
  </si>
  <si>
    <t xml:space="preserve">   OTHER PURCHASED POWER</t>
  </si>
  <si>
    <t>TOTAL ACCOUNT 555.0</t>
  </si>
  <si>
    <t>555.1 / COGENERATION &amp; SMALL POWER PROD</t>
  </si>
  <si>
    <t xml:space="preserve">  CAPACITY RELATED</t>
  </si>
  <si>
    <t xml:space="preserve">  ENERGY RELATED</t>
  </si>
  <si>
    <t>TOTAL COGEN &amp; SMALL POWER PROD</t>
  </si>
  <si>
    <t>TOTAL ACCOUNT 555</t>
  </si>
  <si>
    <t>556 / LOAD CONTROL &amp; DISPATCHING EXPENSES</t>
  </si>
  <si>
    <t>557 / OTHER EXPENSES</t>
  </si>
  <si>
    <t xml:space="preserve">   IDAHO POWER COST-RELATED EXPENSES</t>
  </si>
  <si>
    <t xml:space="preserve">   OREGON POWER COST-RELATED EXPENSES</t>
  </si>
  <si>
    <t>TOTAL ACCOUNT 557</t>
  </si>
  <si>
    <t>TOTAL OTHER POWER SUPPLY EXPENSES</t>
  </si>
  <si>
    <t>TOTAL PRODUCTION EXPENSES</t>
  </si>
  <si>
    <t>TRANSMISSION EXPENSES</t>
  </si>
  <si>
    <t>560 / SUPERVISION &amp; ENGINEERING</t>
  </si>
  <si>
    <t>561 / LOAD DISPATCHING</t>
  </si>
  <si>
    <t>562 / STATION EXPENSES</t>
  </si>
  <si>
    <t>563 / OVERHEAD LINE EXPENSES</t>
  </si>
  <si>
    <t>565 / TRANSMISSION OF ELECTRICITY BY OTHERS</t>
  </si>
  <si>
    <t>566 / MISCELLANEOUS EXPENSES</t>
  </si>
  <si>
    <t>567 / RENTS</t>
  </si>
  <si>
    <t>TOTAL TRANSMISSION OPERATION</t>
  </si>
  <si>
    <t>568 / SUPERVISION &amp; ENGINEERING</t>
  </si>
  <si>
    <t>569 / STRUCTURES</t>
  </si>
  <si>
    <t>570 / STATION EQUIPMENT</t>
  </si>
  <si>
    <t>571 / OVERHEAD LINES</t>
  </si>
  <si>
    <t>573 / MISCELLANEOUS PLANT</t>
  </si>
  <si>
    <t>575 / OPER TRANS MKT ADMIN - EIM</t>
  </si>
  <si>
    <t>TOTAL TRANSMISSION MAINTENANCE</t>
  </si>
  <si>
    <t>TOTAL TRANSMISSION EXPENSES</t>
  </si>
  <si>
    <t>DISTRIBUTION EXPENSES</t>
  </si>
  <si>
    <t>580 / SUPERVISION &amp; ENGINEERING</t>
  </si>
  <si>
    <t>581 / LOAD DISPATCHING</t>
  </si>
  <si>
    <t>582 / STATION EXPENSES</t>
  </si>
  <si>
    <t>583 / OVERHEAD LINE EXPENSES</t>
  </si>
  <si>
    <t>584 / UNDERGROUND LINE EXPENSES</t>
  </si>
  <si>
    <t>585 / STREET LIGHTING &amp; SIGNAL SYSTEMS</t>
  </si>
  <si>
    <t>586 / METER EXPENSES</t>
  </si>
  <si>
    <t>587 / CUSTOMER INSTALLATIONS EXPENSE</t>
  </si>
  <si>
    <t>588 / MISCELLANEOUS EXPENSES</t>
  </si>
  <si>
    <t>589 / RENTS</t>
  </si>
  <si>
    <t>TOTAL DISTRIBUTION OPERATION</t>
  </si>
  <si>
    <t>590 / SUPERVISION &amp; ENGINEERING</t>
  </si>
  <si>
    <t>591 / STRUCTURES</t>
  </si>
  <si>
    <t>592 / STATION EQUIPMENT</t>
  </si>
  <si>
    <t>593 / OVERHEAD LINES</t>
  </si>
  <si>
    <t>594 / UNDERGROUND LINES</t>
  </si>
  <si>
    <t>595 / LINE TRANSFORMERS</t>
  </si>
  <si>
    <t>596 / STREET LIGHTING &amp; SIGNAL SYSTEMS</t>
  </si>
  <si>
    <t>597 / METERS</t>
  </si>
  <si>
    <t>598 / MISCELLANEOUS PLANT</t>
  </si>
  <si>
    <t>TOTAL DISTRIBUTION MAINTENANCE</t>
  </si>
  <si>
    <t>TOTAL DISTRIBUTION EXPENSES</t>
  </si>
  <si>
    <t>CUSTOMER ACCOUNTING EXPENSES</t>
  </si>
  <si>
    <t>901 / SUPERVISION</t>
  </si>
  <si>
    <t>902 / METER READING</t>
  </si>
  <si>
    <t>903 / CUSTOMER RECORDS &amp; COLLECTIONS</t>
  </si>
  <si>
    <t>904 / UNCOLLECTIBLE ACCOUNTS</t>
  </si>
  <si>
    <t>905 / MISC  EXPENSES</t>
  </si>
  <si>
    <t>TOTAL CUSTOMER ACCOUNTING EXPENSES</t>
  </si>
  <si>
    <t>CUSTOMER SERVICES &amp; INFORMATION EXPENSES</t>
  </si>
  <si>
    <t>907 / SUPERVISION</t>
  </si>
  <si>
    <t>908 / CUSTOMER ASSISTANCE</t>
  </si>
  <si>
    <t xml:space="preserve">   SYSTEM CONSERVATION</t>
  </si>
  <si>
    <t>TOTAL ACCOUNT 908</t>
  </si>
  <si>
    <t>909 / INFORMATION &amp; INSTRUCTIONAL</t>
  </si>
  <si>
    <t>910 / MISCELLANEOUS EXPENSES</t>
  </si>
  <si>
    <t>TOTAL CUST SERV &amp; INFORMATN EXPENSES</t>
  </si>
  <si>
    <t>SALES EXPENSES</t>
  </si>
  <si>
    <t>912 / DEMO &amp; SELLING EXPENSES</t>
  </si>
  <si>
    <t>TOTAL SALES EXPENSES</t>
  </si>
  <si>
    <t>ADMINISTRATIVE &amp; GENERAL EXPENSES</t>
  </si>
  <si>
    <t>920 / ADMINISTRATIVE &amp; GENERAL SALARIES</t>
  </si>
  <si>
    <t>921 / OFFICE SUPPLIES</t>
  </si>
  <si>
    <t>922 / ADMIN &amp; GENERAL EXPENSES TRANSFERRED-CR</t>
  </si>
  <si>
    <t>923 / OUTSIDE SERVICES</t>
  </si>
  <si>
    <t>924 / PROPERTY INSURANCE</t>
  </si>
  <si>
    <t xml:space="preserve">  PRODUCTION - STEAM</t>
  </si>
  <si>
    <t xml:space="preserve">  ALL RISK &amp; MISCELLANEOUS</t>
  </si>
  <si>
    <t>TOTAL ACCOUNT 924</t>
  </si>
  <si>
    <t>925 / INJURIES &amp; DAMAGES</t>
  </si>
  <si>
    <t>926 / EMPLOYEE PENSIONS &amp; BENEFITS</t>
  </si>
  <si>
    <t xml:space="preserve">         EMPLOYEE PENSIONS &amp; BENEFITS - OREGON</t>
  </si>
  <si>
    <t xml:space="preserve">         EMPLOYEE PENSIONS &amp; BENEFITS - IDAHO</t>
  </si>
  <si>
    <t xml:space="preserve">         EMPLOYEE PENSIONS &amp; BENEFITS - FERC</t>
  </si>
  <si>
    <t>927 / FRANCHISE REQUIREMENTS</t>
  </si>
  <si>
    <t>928 / REGULATORY COMMISSION EXPENSES</t>
  </si>
  <si>
    <t>FERC ADMIN ASSESS &amp; SECURITIES</t>
  </si>
  <si>
    <t xml:space="preserve">    CAPACITY RELATED</t>
  </si>
  <si>
    <t xml:space="preserve">    ENERGY RELATED</t>
  </si>
  <si>
    <t>FERC RATE CASE</t>
  </si>
  <si>
    <t>FERC ORDER 472</t>
  </si>
  <si>
    <t>FERC OTHER</t>
  </si>
  <si>
    <t>FERC - OREGON HYDRO FEE</t>
  </si>
  <si>
    <t>SEC EXPENSES</t>
  </si>
  <si>
    <t>IDAHO PUC  -RATE CASE</t>
  </si>
  <si>
    <t xml:space="preserve">   -OTHER</t>
  </si>
  <si>
    <t>OREGON PUC -RATE CASE</t>
  </si>
  <si>
    <t>TOTAL ACCOUNT 928</t>
  </si>
  <si>
    <t>929 / DUPLICATE CHARGES</t>
  </si>
  <si>
    <t>930.1 / GENERAL ADVERTISING</t>
  </si>
  <si>
    <t>930.2 / MISCELLANEOUS EXPENSES</t>
  </si>
  <si>
    <t>931 / RENTS</t>
  </si>
  <si>
    <t>TOTAL ADM &amp; GEN OPERATION</t>
  </si>
  <si>
    <t>935 / GENERAL PLANT MAINTENANCE</t>
  </si>
  <si>
    <t>TOTAL ADMIN &amp; GENERAL EXPENSES</t>
  </si>
  <si>
    <t>416 / MERCHANDISING EXPENSE</t>
  </si>
  <si>
    <t>TOTAL OPER &amp; MAINT EXPENSES</t>
  </si>
  <si>
    <t>DEPRECIATION EXPENSE</t>
  </si>
  <si>
    <t>403/ BOARDMAN ARO DEPRECIATION EXP</t>
  </si>
  <si>
    <t>DEPR EXP BEFORE DISALLOWED COSTS</t>
  </si>
  <si>
    <t>DEPRECIATION ON DISALLOWED COSTS</t>
  </si>
  <si>
    <t>TOTAL DEPRECIATION EXPENSE</t>
  </si>
  <si>
    <t>AMORTIZATION EXPENSE</t>
  </si>
  <si>
    <t>ADJUSTMENTS, GAINS &amp; LOSSES</t>
  </si>
  <si>
    <t>TOTAL AMORTIZATION EXPENSE</t>
  </si>
  <si>
    <t>TOTAL DEPRECIATION &amp; AM0RTIZATION EXP</t>
  </si>
  <si>
    <t>411.093/4 / ARO ACCRETION EXPENSE</t>
  </si>
  <si>
    <t>TAXES OTHER THAN INCOME</t>
  </si>
  <si>
    <t>FEDERAL TAXES</t>
  </si>
  <si>
    <t xml:space="preserve">  FICA</t>
  </si>
  <si>
    <t xml:space="preserve">  FUTA</t>
  </si>
  <si>
    <t xml:space="preserve">  LESS PAYROLL DEDUCTION</t>
  </si>
  <si>
    <t>STATE TAXES</t>
  </si>
  <si>
    <t xml:space="preserve">  AD VALOREM TAXES</t>
  </si>
  <si>
    <t xml:space="preserve">    JIM BRIDGER STATION</t>
  </si>
  <si>
    <t xml:space="preserve">    VALMY</t>
  </si>
  <si>
    <t xml:space="preserve">    BOARDMAN</t>
  </si>
  <si>
    <t xml:space="preserve">    OTHER-PRODUCTION PLANT</t>
  </si>
  <si>
    <t xml:space="preserve">    OTHER-TRANSMISSION PLANT</t>
  </si>
  <si>
    <t xml:space="preserve">    OTHER-DISTRIBUTION PLANT</t>
  </si>
  <si>
    <t xml:space="preserve">    OTHER-GENERAL PLANT</t>
  </si>
  <si>
    <t xml:space="preserve">     SUB-TOTAL</t>
  </si>
  <si>
    <t xml:space="preserve">  LICENSES - HYDRO PROJECTS</t>
  </si>
  <si>
    <t xml:space="preserve">  REGULATORY COMMISSION FEES</t>
  </si>
  <si>
    <t xml:space="preserve">    STATE OF IDAHO</t>
  </si>
  <si>
    <t xml:space="preserve">    STATE OF OREGON</t>
  </si>
  <si>
    <t xml:space="preserve">  FRANCHISE TAXES</t>
  </si>
  <si>
    <t xml:space="preserve">  OTHER STATE TAXES</t>
  </si>
  <si>
    <t xml:space="preserve">    UNEMPLOYMENT TAXES</t>
  </si>
  <si>
    <t xml:space="preserve">    HYDRO GENERATION  KWH TAX</t>
  </si>
  <si>
    <t xml:space="preserve">    IRRIGATION-PIC</t>
  </si>
  <si>
    <t>TOTAL TAXES OTHER THAN INCOME</t>
  </si>
  <si>
    <t>REGULATORY DEBITS/CREDITS</t>
  </si>
  <si>
    <t>TOTAL REGULATORY DEBITS/CREDITS</t>
  </si>
  <si>
    <t>410/411 NET PROVISION FOR DEFERRED INCOME TAXES</t>
  </si>
  <si>
    <t xml:space="preserve">  ACCOUNT #282 - RELATED</t>
  </si>
  <si>
    <t xml:space="preserve">  ACCOUNTS #190 &amp; #283 - RELATED</t>
  </si>
  <si>
    <t>TOTAL NET PROVISION FOR DEFERRED INCOME TAXES</t>
  </si>
  <si>
    <t>411.4 - INVESTMENT TAX CREDIT ADJUSTMENT</t>
  </si>
  <si>
    <t>SUMMARY OF INCOME TAXES</t>
  </si>
  <si>
    <t>TOTAL FEDERAL INCOME TAX</t>
  </si>
  <si>
    <t>STATE INCOME TAX</t>
  </si>
  <si>
    <t>STATE OF IDAHO</t>
  </si>
  <si>
    <t>STATE OF OREGON</t>
  </si>
  <si>
    <t>OTHER STATES</t>
  </si>
  <si>
    <t>TOTAL STATE INCOME TAXES</t>
  </si>
  <si>
    <t>OPERATION &amp; MAINTENANCE</t>
  </si>
  <si>
    <t>AMORTIZATION OF LIMITED TERM PLANT</t>
  </si>
  <si>
    <t>ACCRETION EXPENSE</t>
  </si>
  <si>
    <t>INCOME BEFORE TAX ADJUSTMENTS</t>
  </si>
  <si>
    <t>INCOME STATEMENT ADJUSTMENTS</t>
  </si>
  <si>
    <t>LONG TERM DEBT INTEREST EXPENSE</t>
  </si>
  <si>
    <t>OTHER INTEREST EXPENSE</t>
  </si>
  <si>
    <t>TOTAL INTEREST CHARGES</t>
  </si>
  <si>
    <t>ALLOWANCE FOR AFUDC</t>
  </si>
  <si>
    <t xml:space="preserve">  FEDERAL INCOME TAX ADJUSTMENTS - PLANT</t>
  </si>
  <si>
    <t xml:space="preserve">  FEDERAL INCOME TAX ADJUSTMENTS - OTHER</t>
  </si>
  <si>
    <t>TOTAL STATE INCOME TAXES (ALLOWED)</t>
  </si>
  <si>
    <t>OTHER CURRENT TAX ADJUSTMENTS</t>
  </si>
  <si>
    <t>NET OPERATING INCOME BEFORE TAXES - OREGON</t>
  </si>
  <si>
    <t xml:space="preserve">  STATE INCOME TAX ADJUSTMENTS - PLANT</t>
  </si>
  <si>
    <t xml:space="preserve">  STATE INCOME TAX ADJUSTMENTS - OTHER</t>
  </si>
  <si>
    <t>TOTAL STATE INCOME TAX ADJUSTMENTS</t>
  </si>
  <si>
    <t>ADD:  MFG DEDUCTION NOT ALLOWED</t>
  </si>
  <si>
    <t>TOTAL STATE INCOME TAX ADJUSTMENTS - OREGON</t>
  </si>
  <si>
    <t>INCOME SUBJECT TO OREGON TAX</t>
  </si>
  <si>
    <t xml:space="preserve">  IERCO TAXABLE INCOME</t>
  </si>
  <si>
    <t xml:space="preserve">  BONUS DEPRECIATION ADJUSTMENT</t>
  </si>
  <si>
    <t xml:space="preserve">  FEDERAL NOL</t>
  </si>
  <si>
    <t>TOTAL STATE TAXABLE INCOME - OREGON</t>
  </si>
  <si>
    <t>POST APPORTIONMENT M ITEMS</t>
  </si>
  <si>
    <t>TOTAL TAXABLE INCOME - OREGON</t>
  </si>
  <si>
    <t>LESS: INVESTMENT TAX CREDIT</t>
  </si>
  <si>
    <t>STATE INCOME TAX ALLOWED - OREGON</t>
  </si>
  <si>
    <t xml:space="preserve">            PRIOR YEARS' TAX ADJUSTMENT</t>
  </si>
  <si>
    <t>STATE INCOME TAX PAID - OREGON</t>
  </si>
  <si>
    <t>NET OPERATING INCOME BEFORE TAXES - IDAHO</t>
  </si>
  <si>
    <t>STATE INCOME TAX ADJUSTMENTS</t>
  </si>
  <si>
    <t>INCOME SUBJECT TO IDAHO TAX</t>
  </si>
  <si>
    <t>TOTAL STATE TAXABLE INCOME - IDAHO</t>
  </si>
  <si>
    <t>IDAHO TAX AT 5.6 PERCENT</t>
  </si>
  <si>
    <t>STATE INCOME TAX ALLOWED - IDAHO</t>
  </si>
  <si>
    <t xml:space="preserve">             PRIOR YEARS' TAX ADJUSTMENT</t>
  </si>
  <si>
    <t>STATE INCOME TAX PAID - IDAHO</t>
  </si>
  <si>
    <t>INCOME SUBJECT TO TAX</t>
  </si>
  <si>
    <t>TOTAL TAXABLE INCOME BEFORE APPORTIONMENT-OTHER STATES</t>
  </si>
  <si>
    <t>TOTAL TAXABLE INCOME-OTHER STATES</t>
  </si>
  <si>
    <t xml:space="preserve">OTHER TAX AT 0.1 PERCENT </t>
  </si>
  <si>
    <t xml:space="preserve">ADD:  FIN 48 ADJUSTMENT </t>
  </si>
  <si>
    <t>OTHER STATES' INCOME TAX PAID</t>
  </si>
  <si>
    <t>500-513 / TOTAL STEAM GENERATION</t>
  </si>
  <si>
    <t>555 / PURCHASE POWER</t>
  </si>
  <si>
    <t>DISTRIBUTION  EXPENESES</t>
  </si>
  <si>
    <t>EXPORT AREA</t>
  </si>
  <si>
    <t>IMPORT AREA</t>
  </si>
  <si>
    <t>JURISDICTIONAL SEPARATION STUDY</t>
  </si>
  <si>
    <t xml:space="preserve">       SYSTEM</t>
  </si>
  <si>
    <t xml:space="preserve">         FERC</t>
  </si>
  <si>
    <t xml:space="preserve">        IDAHO</t>
  </si>
  <si>
    <t>OREGON</t>
  </si>
  <si>
    <t xml:space="preserve">       NEVADA</t>
  </si>
  <si>
    <t>ALLOC/</t>
  </si>
  <si>
    <t xml:space="preserve">IDAHO </t>
  </si>
  <si>
    <t xml:space="preserve">       TOTALS</t>
  </si>
  <si>
    <t xml:space="preserve">        TOTAL</t>
  </si>
  <si>
    <t>TYPE I</t>
  </si>
  <si>
    <t>TYPE II</t>
  </si>
  <si>
    <t>SOURCE</t>
  </si>
  <si>
    <t>IPUC</t>
  </si>
  <si>
    <t>OPUC</t>
  </si>
  <si>
    <t xml:space="preserve">    PER BOOKS</t>
  </si>
  <si>
    <t xml:space="preserve">     ADJUSTED</t>
  </si>
  <si>
    <t>ACTUAL</t>
  </si>
  <si>
    <t>ADJUSTED</t>
  </si>
  <si>
    <t>SYSTEM TRANSMISSION SERVICE</t>
  </si>
  <si>
    <t>L</t>
  </si>
  <si>
    <t>AM. FALLS BOND REFINANCE</t>
  </si>
  <si>
    <t>254 / JIM BRIDGER PLANT END OF LIFE DEPR - OPUC ORD 12-296</t>
  </si>
  <si>
    <t>447/</t>
  </si>
  <si>
    <t>FIRM SALES FOR RESALE</t>
  </si>
  <si>
    <t>SYSTEM OPPORTUNITY SALES</t>
  </si>
  <si>
    <t>D60</t>
  </si>
  <si>
    <t>555.0 / PURCHASED POWER</t>
  </si>
  <si>
    <t>CIDA</t>
  </si>
  <si>
    <t>D10</t>
  </si>
  <si>
    <t>DAARO</t>
  </si>
  <si>
    <t>DAACCRETION</t>
  </si>
  <si>
    <t>CANADA GST TAXES</t>
  </si>
  <si>
    <t xml:space="preserve">      BOOK-TAX ADJUSTMENT</t>
  </si>
  <si>
    <t>NET OPERATING INCOME BEFORE STATE INCOME TAXES</t>
  </si>
  <si>
    <t>NET FEDERAL INCOME AFTER STATE INCOME TAXES</t>
  </si>
  <si>
    <t>FEDERAL TAX AT 21 PERCENT</t>
  </si>
  <si>
    <t>TOTAL FEDERAL INCOME TAX BEFORE OTHER ADJUSTMENTS</t>
  </si>
  <si>
    <t>OTHER TAX ADJUSTMENTS</t>
  </si>
  <si>
    <t xml:space="preserve">  ALLOWANCE FOR AFUDC</t>
  </si>
  <si>
    <t>SUM OF OTHER ADJUSTMENTS</t>
  </si>
  <si>
    <t xml:space="preserve">        FEDERAL TAX ON OTHER TAX ADJ AT 21 PERCENT</t>
  </si>
  <si>
    <t>APPORTIONMENT FACTOR (0.045454550)</t>
  </si>
  <si>
    <t>OREGON TAX AT 6.6 PERCENT</t>
  </si>
  <si>
    <t>OTHER STATE INCOME TAX</t>
  </si>
  <si>
    <t>P110P</t>
  </si>
  <si>
    <t>TOTAL LABOR - RATIO (%)</t>
  </si>
  <si>
    <t>CAPACITY RELATED KW</t>
  </si>
  <si>
    <t>PRODUCTION RELATED COINCIDENT PEAKS @ GENERATION LEVEL</t>
  </si>
  <si>
    <t>SYSTEM TRANSMISSION SERVICE @ GENERATION LEVEL</t>
  </si>
  <si>
    <t>D11</t>
  </si>
  <si>
    <t>RETAIL TRANSMISSION</t>
  </si>
  <si>
    <t>D12</t>
  </si>
  <si>
    <t>DISTRIBUTION SERVICE @ GENERATION LEVEL</t>
  </si>
  <si>
    <t>ENERGY RELATED MWH</t>
  </si>
  <si>
    <t>GENERATION LEVEL (PSP)</t>
  </si>
  <si>
    <t>E10</t>
  </si>
  <si>
    <t>RETAIL MWH AT GENERATION LVL</t>
  </si>
  <si>
    <t>E100</t>
  </si>
  <si>
    <t>CUSTOMER LEVEL</t>
  </si>
  <si>
    <t>E99</t>
  </si>
  <si>
    <t>CUSTOMER RELATED FACTORS</t>
  </si>
  <si>
    <t>369-DIRECT ASSIGNMENT</t>
  </si>
  <si>
    <t>DA369</t>
  </si>
  <si>
    <t>370-METER INVESTMENT</t>
  </si>
  <si>
    <t>ACCT370</t>
  </si>
  <si>
    <t>902-CUSTOMER WEIGHTED</t>
  </si>
  <si>
    <t>CW902</t>
  </si>
  <si>
    <t>903-CUSTOMER WEIGHTED</t>
  </si>
  <si>
    <t>CW903</t>
  </si>
  <si>
    <t>904-CUSTOMER WEIGHTED</t>
  </si>
  <si>
    <t>CW904</t>
  </si>
  <si>
    <t>909-DIRECT ASSIGN-AVG.NO.CUST.</t>
  </si>
  <si>
    <t>DA909</t>
  </si>
  <si>
    <t>DIRECT ASSIGNMENTS</t>
  </si>
  <si>
    <t>252-CUSTOMER ADVANCES</t>
  </si>
  <si>
    <t>DA252</t>
  </si>
  <si>
    <t>350-LAND &amp; LAND RIGHTS</t>
  </si>
  <si>
    <t>DA350</t>
  </si>
  <si>
    <t>352-STRUCTURES &amp; IMPROVEMENTS</t>
  </si>
  <si>
    <t>DA352</t>
  </si>
  <si>
    <t>353-STATION EQUIPMENT</t>
  </si>
  <si>
    <t>DA353</t>
  </si>
  <si>
    <t>354-TOWERS &amp; FIXTURES</t>
  </si>
  <si>
    <t>DA354</t>
  </si>
  <si>
    <t>355-POLES &amp; FIXTURES</t>
  </si>
  <si>
    <t>DA355</t>
  </si>
  <si>
    <t>356-OVERHEAD CONDUCTORS &amp; DEVICES</t>
  </si>
  <si>
    <t>DA356</t>
  </si>
  <si>
    <t>359-ROADS &amp; TRAILS</t>
  </si>
  <si>
    <t>DA359</t>
  </si>
  <si>
    <t>360-LAND &amp; LAND RIGHTS</t>
  </si>
  <si>
    <t>ACCT360</t>
  </si>
  <si>
    <t>361-STRUCTURES &amp; IMPROVEMENTS</t>
  </si>
  <si>
    <t>ACCT361</t>
  </si>
  <si>
    <t>362-STATION EQUIPMENT</t>
  </si>
  <si>
    <t>ACCT362</t>
  </si>
  <si>
    <t>364-POLES, TOWERS &amp; FIXTURES</t>
  </si>
  <si>
    <t>DA364</t>
  </si>
  <si>
    <t>365-OVERHEAD CONDUCTORS &amp; DEVICES</t>
  </si>
  <si>
    <t>DA365</t>
  </si>
  <si>
    <t>366-UNDERGROUND CONDUIT</t>
  </si>
  <si>
    <t>DA366</t>
  </si>
  <si>
    <t>367-UNDERGROUND CONDUCTORS &amp; DEVICES</t>
  </si>
  <si>
    <t>DA367</t>
  </si>
  <si>
    <t>371-INSTALLATIONS ON CUSTOMER PREMISES</t>
  </si>
  <si>
    <t>DA371</t>
  </si>
  <si>
    <t>373-STREET LIGHTING SYSTEMS</t>
  </si>
  <si>
    <t>DA373</t>
  </si>
  <si>
    <t xml:space="preserve">451-REVENUE - MISCELLANEOUS SERVICE </t>
  </si>
  <si>
    <t>DA451</t>
  </si>
  <si>
    <t>454-REVENUE - FACILITIES CHARGE</t>
  </si>
  <si>
    <t>DA454</t>
  </si>
  <si>
    <t>908-OTHER CUSTOMER ASSISTANCE</t>
  </si>
  <si>
    <t>DA908</t>
  </si>
  <si>
    <t>440-RETAIL SALES REVENUE</t>
  </si>
  <si>
    <t>RETREV</t>
  </si>
  <si>
    <t>447-WHOLESALE SALES REVENUE</t>
  </si>
  <si>
    <t>RESREV</t>
  </si>
  <si>
    <t>RIDER FUND DIRECT ASSIGNMENT</t>
  </si>
  <si>
    <t>DARIDER</t>
  </si>
  <si>
    <t>411 - BOARDMAN ARO ACCRETION EXP</t>
  </si>
  <si>
    <t>403 - BOARDMAN ARO DEPRECIATION EXP</t>
  </si>
  <si>
    <t>IDAHO</t>
  </si>
  <si>
    <t>CODA</t>
  </si>
  <si>
    <t>NET TO GROSS TAX MULTIPLIER</t>
  </si>
  <si>
    <t>DA990</t>
  </si>
  <si>
    <t>INTERNALLY DEVELOPED ALLOCATION FACTORS</t>
  </si>
  <si>
    <t>PLANT - PROD,TRANS&amp;DIST</t>
  </si>
  <si>
    <t>PTD</t>
  </si>
  <si>
    <t>LAB - PROD,TRANS,DIST,CUST ACCT&amp;CSIS</t>
  </si>
  <si>
    <t>PTDCAS</t>
  </si>
  <si>
    <t>PLANT - HYDRO,OTHER,TSUBS,DSUBS&amp;GP</t>
  </si>
  <si>
    <t>PLANT - GEN PLT (390,391,397&amp;398)</t>
  </si>
  <si>
    <t>P3908</t>
  </si>
  <si>
    <t>PLANT - PROD,TRANS,DIST&amp;GEN</t>
  </si>
  <si>
    <t>P101P</t>
  </si>
  <si>
    <t>O&amp;M - PROD,TRANS,DIST,CUST ACCT&amp;CSIS</t>
  </si>
  <si>
    <t>SUBEX</t>
  </si>
  <si>
    <t>RELAB</t>
  </si>
  <si>
    <t>LAB - ALL LABOR WITHOUT 925-6  "CIRC"</t>
  </si>
  <si>
    <t>LABOR</t>
  </si>
  <si>
    <t>REV - RETAIL, RESALE &amp; WHEELING</t>
  </si>
  <si>
    <t>FMREV</t>
  </si>
  <si>
    <t>O&amp;M - ALL EXCEPT FUEL</t>
  </si>
  <si>
    <t>O&amp;M M</t>
  </si>
  <si>
    <t>PLANT - 89%*HYD PROD + 11%*TRANS</t>
  </si>
  <si>
    <t>SURVEY</t>
  </si>
  <si>
    <t>O&amp;M - TOTAL (NOT USED)</t>
  </si>
  <si>
    <t>OM401</t>
  </si>
  <si>
    <r>
      <t>FONT COLORS:</t>
    </r>
    <r>
      <rPr>
        <u/>
        <sz val="10"/>
        <color rgb="FFFF0000"/>
        <rFont val="Arial"/>
        <family val="2"/>
      </rPr>
      <t/>
    </r>
  </si>
  <si>
    <r>
      <t>BLACK=INPUTS FROM PF &amp;TEXT</t>
    </r>
    <r>
      <rPr>
        <u/>
        <sz val="10"/>
        <color rgb="FFFF0000"/>
        <rFont val="Arial"/>
        <family val="2"/>
      </rPr>
      <t xml:space="preserve">; RED = REFERENCED CELLS; </t>
    </r>
    <r>
      <rPr>
        <u/>
        <sz val="10"/>
        <color rgb="FF0000FF"/>
        <rFont val="Arial"/>
        <family val="2"/>
      </rPr>
      <t>BLUE=FORMULAS</t>
    </r>
    <r>
      <rPr>
        <u/>
        <sz val="10"/>
        <color rgb="FFFF0000"/>
        <rFont val="Arial"/>
        <family val="2"/>
      </rPr>
      <t>;</t>
    </r>
  </si>
  <si>
    <r>
      <t>PURPLE=ALLOCATED CELLS</t>
    </r>
    <r>
      <rPr>
        <u/>
        <sz val="10"/>
        <color rgb="FFFF0000"/>
        <rFont val="Arial"/>
        <family val="2"/>
      </rPr>
      <t xml:space="preserve">; </t>
    </r>
    <r>
      <rPr>
        <u/>
        <sz val="10"/>
        <color rgb="FF008000"/>
        <rFont val="Arial"/>
        <family val="2"/>
      </rPr>
      <t>GREEN=JURISDICTIONAL SUMMARY</t>
    </r>
    <r>
      <rPr>
        <u/>
        <sz val="10"/>
        <color rgb="FFFF0000"/>
        <rFont val="Arial"/>
        <family val="2"/>
      </rPr>
      <t xml:space="preserve">; </t>
    </r>
    <r>
      <rPr>
        <u/>
        <sz val="10"/>
        <color rgb="FFFF00FF"/>
        <rFont val="Arial"/>
        <family val="2"/>
      </rPr>
      <t>PINK=EXPORT TO CLASS</t>
    </r>
    <r>
      <rPr>
        <u/>
        <sz val="10"/>
        <color rgb="FFFF0000"/>
        <rFont val="Arial"/>
        <family val="2"/>
      </rPr>
      <t>.</t>
    </r>
  </si>
  <si>
    <t xml:space="preserve">     * * * PLEASE DO NOT DISTURB THIS AREA * * *</t>
  </si>
  <si>
    <t>*</t>
  </si>
  <si>
    <t xml:space="preserve">     PLEASE DO NOT DISTURB THIS AREA</t>
  </si>
  <si>
    <t>SYSTEM - PER BOOKS</t>
  </si>
  <si>
    <t>SYSTEM - ADJUSTED</t>
  </si>
  <si>
    <t>FERC STUDY</t>
  </si>
  <si>
    <t>IDAHO STUDY</t>
  </si>
  <si>
    <t>OREGON ACTUAL</t>
  </si>
  <si>
    <t>OREGON TYPE I STUDY</t>
  </si>
  <si>
    <t>RATE CASE STUDY</t>
  </si>
  <si>
    <t>NEVADA STUDY</t>
  </si>
  <si>
    <t>CHOICE GOES HERE &gt;&gt;&gt;&gt;&gt;&gt;&gt;&gt;&gt;&gt;&gt;&gt;</t>
  </si>
  <si>
    <t>&lt;&lt;&lt;&lt;&lt;&lt;&lt;</t>
  </si>
  <si>
    <t>VALMY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</si>
</sst>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###"/>
    <numFmt numFmtId="165" formatCode="&quot;TWELVE MONTHS ENDED DECEMBER 31, &quot;####"/>
    <numFmt numFmtId="166" formatCode="0.000%"/>
    <numFmt numFmtId="167" formatCode="0.000"/>
    <numFmt numFmtId="168" formatCode="0.0000"/>
    <numFmt numFmtId="169" formatCode="#,##0.0_);\(#,##0.0\)"/>
    <numFmt numFmtId="170" formatCode="#,##0.0000"/>
    <numFmt numFmtId="171" formatCode="#,##0.000_);[Red]\(#,##0.000\)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b/>
      <i/>
      <sz val="6"/>
      <name val="Arial"/>
      <family val="2"/>
    </font>
    <font>
      <sz val="6"/>
      <color rgb="FFFF0000"/>
      <name val="Arial"/>
      <family val="2"/>
    </font>
    <font>
      <sz val="6"/>
      <color rgb="FF0000FF"/>
      <name val="Arial"/>
      <family val="2"/>
    </font>
    <font>
      <sz val="6"/>
      <color indexed="8"/>
      <name val="Arial"/>
      <family val="2"/>
    </font>
    <font>
      <sz val="8"/>
      <name val="Helv"/>
    </font>
    <font>
      <sz val="6"/>
      <color rgb="FF000000"/>
      <name val="Arial"/>
      <family val="2"/>
    </font>
    <font>
      <sz val="6"/>
      <name val="ATM3270"/>
      <family val="3"/>
    </font>
    <font>
      <sz val="6"/>
      <name val="Helv"/>
    </font>
    <font>
      <sz val="8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b/>
      <sz val="8"/>
      <color rgb="FFFF0000"/>
      <name val="Arial"/>
      <family val="2"/>
    </font>
    <font>
      <b/>
      <sz val="8"/>
      <color rgb="FF000000"/>
      <name val="Arial"/>
      <family val="2"/>
    </font>
    <font>
      <b/>
      <sz val="8"/>
      <color rgb="FF0000FF"/>
      <name val="Arial"/>
      <family val="2"/>
    </font>
    <font>
      <sz val="8"/>
      <color rgb="FFFF00FF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b/>
      <i/>
      <sz val="9"/>
      <color rgb="FFFF0000"/>
      <name val="Arial"/>
      <family val="2"/>
    </font>
    <font>
      <sz val="8"/>
      <color rgb="FF000000"/>
      <name val="Helv"/>
    </font>
    <font>
      <b/>
      <u/>
      <sz val="6"/>
      <name val="Helv"/>
    </font>
    <font>
      <b/>
      <sz val="6"/>
      <name val="Helv"/>
    </font>
    <font>
      <b/>
      <u/>
      <sz val="8"/>
      <color rgb="FF000000"/>
      <name val="Arial"/>
      <family val="2"/>
    </font>
    <font>
      <sz val="8"/>
      <color rgb="FFFF0000"/>
      <name val="Arial"/>
      <family val="2"/>
    </font>
    <font>
      <sz val="5"/>
      <color rgb="FF000000"/>
      <name val="Arial"/>
      <family val="2"/>
    </font>
    <font>
      <sz val="5"/>
      <color rgb="FF0000FF"/>
      <name val="Arial"/>
      <family val="2"/>
    </font>
    <font>
      <sz val="8"/>
      <color rgb="FF0000FF"/>
      <name val="Arial"/>
      <family val="2"/>
    </font>
    <font>
      <sz val="8"/>
      <color rgb="FF800080"/>
      <name val="Arial"/>
      <family val="2"/>
    </font>
    <font>
      <sz val="5"/>
      <name val="Arial"/>
      <family val="2"/>
    </font>
    <font>
      <b/>
      <i/>
      <sz val="6"/>
      <color rgb="FF000000"/>
      <name val="Arial"/>
      <family val="2"/>
    </font>
    <font>
      <u/>
      <sz val="10"/>
      <color rgb="FF800000"/>
      <name val="Arial"/>
      <family val="2"/>
    </font>
    <font>
      <u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FF"/>
      <name val="Arial"/>
      <family val="2"/>
    </font>
    <font>
      <sz val="10"/>
      <color rgb="FFFF00FF"/>
      <name val="Arial"/>
      <family val="2"/>
    </font>
    <font>
      <u/>
      <sz val="10"/>
      <color rgb="FF00000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u/>
      <sz val="10"/>
      <color rgb="FF008000"/>
      <name val="Arial"/>
      <family val="2"/>
    </font>
    <font>
      <u/>
      <sz val="10"/>
      <color rgb="FFFF00FF"/>
      <name val="Arial"/>
      <family val="2"/>
    </font>
    <font>
      <b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7" fontId="10" fillId="0" borderId="0"/>
    <xf numFmtId="0" fontId="4" fillId="0" borderId="0"/>
  </cellStyleXfs>
  <cellXfs count="112">
    <xf numFmtId="0" fontId="0" fillId="0" borderId="0" xfId="0"/>
    <xf numFmtId="37" fontId="3" fillId="0" borderId="0" xfId="0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  <xf numFmtId="0" fontId="2" fillId="0" borderId="0" xfId="0" applyFont="1"/>
    <xf numFmtId="37" fontId="2" fillId="0" borderId="0" xfId="0" applyNumberFormat="1" applyFont="1"/>
    <xf numFmtId="37" fontId="7" fillId="0" borderId="0" xfId="0" applyNumberFormat="1" applyFont="1"/>
    <xf numFmtId="166" fontId="2" fillId="0" borderId="0" xfId="0" applyNumberFormat="1" applyFont="1"/>
    <xf numFmtId="0" fontId="2" fillId="0" borderId="0" xfId="0" quotePrefix="1" applyFont="1"/>
    <xf numFmtId="37" fontId="11" fillId="0" borderId="0" xfId="0" applyNumberFormat="1" applyFont="1"/>
    <xf numFmtId="37" fontId="13" fillId="0" borderId="0" xfId="0" applyNumberFormat="1" applyFont="1"/>
    <xf numFmtId="0" fontId="2" fillId="0" borderId="0" xfId="3" applyFont="1" applyAlignment="1">
      <alignment horizontal="left" vertical="center" indent="1"/>
    </xf>
    <xf numFmtId="37" fontId="2" fillId="0" borderId="0" xfId="2" applyFont="1"/>
    <xf numFmtId="37" fontId="14" fillId="0" borderId="0" xfId="0" applyNumberFormat="1" applyFont="1"/>
    <xf numFmtId="1" fontId="2" fillId="0" borderId="0" xfId="0" applyNumberFormat="1" applyFont="1"/>
    <xf numFmtId="37" fontId="18" fillId="0" borderId="0" xfId="0" applyNumberFormat="1" applyFont="1" applyAlignment="1">
      <alignment horizontal="centerContinuous"/>
    </xf>
    <xf numFmtId="37" fontId="19" fillId="0" borderId="0" xfId="0" applyNumberFormat="1" applyFont="1" applyAlignment="1">
      <alignment horizontal="centerContinuous"/>
    </xf>
    <xf numFmtId="37" fontId="20" fillId="0" borderId="0" xfId="0" applyNumberFormat="1" applyFont="1" applyAlignment="1">
      <alignment horizontal="centerContinuous"/>
    </xf>
    <xf numFmtId="164" fontId="20" fillId="0" borderId="0" xfId="0" applyNumberFormat="1" applyFont="1" applyAlignment="1">
      <alignment horizontal="centerContinuous"/>
    </xf>
    <xf numFmtId="164" fontId="21" fillId="0" borderId="0" xfId="0" applyNumberFormat="1" applyFont="1" applyAlignment="1">
      <alignment horizontal="centerContinuous"/>
    </xf>
    <xf numFmtId="37" fontId="3" fillId="0" borderId="0" xfId="0" applyNumberFormat="1" applyFont="1" applyAlignment="1">
      <alignment horizontal="centerContinuous"/>
    </xf>
    <xf numFmtId="37" fontId="22" fillId="0" borderId="0" xfId="0" applyNumberFormat="1" applyFont="1"/>
    <xf numFmtId="37" fontId="23" fillId="0" borderId="0" xfId="0" applyNumberFormat="1" applyFont="1"/>
    <xf numFmtId="37" fontId="24" fillId="0" borderId="0" xfId="0" applyNumberFormat="1" applyFont="1" applyAlignment="1">
      <alignment horizontal="centerContinuous"/>
    </xf>
    <xf numFmtId="165" fontId="18" fillId="0" borderId="0" xfId="0" applyNumberFormat="1" applyFont="1" applyAlignment="1">
      <alignment horizontal="centerContinuous"/>
    </xf>
    <xf numFmtId="37" fontId="25" fillId="0" borderId="0" xfId="0" applyNumberFormat="1" applyFont="1" applyAlignment="1">
      <alignment horizontal="left"/>
    </xf>
    <xf numFmtId="37" fontId="10" fillId="0" borderId="0" xfId="0" applyNumberFormat="1" applyFont="1"/>
    <xf numFmtId="37" fontId="26" fillId="0" borderId="0" xfId="0" applyNumberFormat="1" applyFont="1"/>
    <xf numFmtId="37" fontId="25" fillId="0" borderId="0" xfId="0" applyNumberFormat="1" applyFont="1"/>
    <xf numFmtId="37" fontId="27" fillId="0" borderId="0" xfId="0" applyNumberFormat="1" applyFont="1" applyAlignment="1">
      <alignment horizontal="centerContinuous"/>
    </xf>
    <xf numFmtId="37" fontId="28" fillId="0" borderId="0" xfId="0" applyNumberFormat="1" applyFont="1" applyAlignment="1">
      <alignment horizontal="centerContinuous"/>
    </xf>
    <xf numFmtId="37" fontId="23" fillId="0" borderId="0" xfId="0" applyNumberFormat="1" applyFont="1" applyAlignment="1">
      <alignment horizontal="center"/>
    </xf>
    <xf numFmtId="37" fontId="19" fillId="0" borderId="0" xfId="0" applyNumberFormat="1" applyFont="1"/>
    <xf numFmtId="37" fontId="20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left"/>
    </xf>
    <xf numFmtId="37" fontId="29" fillId="0" borderId="0" xfId="0" applyNumberFormat="1" applyFont="1"/>
    <xf numFmtId="164" fontId="29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37" fontId="6" fillId="0" borderId="0" xfId="0" applyNumberFormat="1" applyFont="1"/>
    <xf numFmtId="37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37" fontId="30" fillId="0" borderId="0" xfId="0" applyNumberFormat="1" applyFont="1"/>
    <xf numFmtId="37" fontId="31" fillId="0" borderId="0" xfId="0" applyNumberFormat="1" applyFont="1" applyAlignment="1">
      <alignment horizontal="right"/>
    </xf>
    <xf numFmtId="164" fontId="31" fillId="0" borderId="0" xfId="0" applyNumberFormat="1" applyFont="1" applyAlignment="1">
      <alignment horizontal="left"/>
    </xf>
    <xf numFmtId="164" fontId="32" fillId="0" borderId="0" xfId="0" applyNumberFormat="1" applyFont="1" applyAlignment="1">
      <alignment horizontal="left"/>
    </xf>
    <xf numFmtId="37" fontId="33" fillId="0" borderId="0" xfId="0" applyNumberFormat="1" applyFont="1"/>
    <xf numFmtId="10" fontId="14" fillId="0" borderId="0" xfId="1" applyNumberFormat="1" applyFont="1" applyFill="1" applyBorder="1"/>
    <xf numFmtId="37" fontId="34" fillId="0" borderId="0" xfId="0" applyNumberFormat="1" applyFont="1"/>
    <xf numFmtId="166" fontId="31" fillId="0" borderId="0" xfId="0" applyNumberFormat="1" applyFont="1" applyAlignment="1">
      <alignment horizontal="right"/>
    </xf>
    <xf numFmtId="166" fontId="33" fillId="0" borderId="0" xfId="0" applyNumberFormat="1" applyFont="1"/>
    <xf numFmtId="166" fontId="14" fillId="0" borderId="0" xfId="0" applyNumberFormat="1" applyFont="1"/>
    <xf numFmtId="166" fontId="23" fillId="0" borderId="0" xfId="0" applyNumberFormat="1" applyFont="1"/>
    <xf numFmtId="37" fontId="31" fillId="0" borderId="0" xfId="0" applyNumberFormat="1" applyFont="1"/>
    <xf numFmtId="37" fontId="35" fillId="0" borderId="0" xfId="0" applyNumberFormat="1" applyFont="1"/>
    <xf numFmtId="167" fontId="31" fillId="0" borderId="0" xfId="0" applyNumberFormat="1" applyFont="1" applyAlignment="1">
      <alignment horizontal="right"/>
    </xf>
    <xf numFmtId="167" fontId="30" fillId="0" borderId="0" xfId="0" applyNumberFormat="1" applyFont="1"/>
    <xf numFmtId="167" fontId="14" fillId="0" borderId="0" xfId="0" applyNumberFormat="1" applyFont="1"/>
    <xf numFmtId="167" fontId="23" fillId="0" borderId="0" xfId="0" applyNumberFormat="1" applyFont="1"/>
    <xf numFmtId="10" fontId="31" fillId="0" borderId="0" xfId="0" applyNumberFormat="1" applyFont="1" applyAlignment="1">
      <alignment horizontal="right"/>
    </xf>
    <xf numFmtId="10" fontId="33" fillId="0" borderId="0" xfId="0" applyNumberFormat="1" applyFont="1"/>
    <xf numFmtId="10" fontId="14" fillId="0" borderId="0" xfId="0" applyNumberFormat="1" applyFont="1"/>
    <xf numFmtId="10" fontId="23" fillId="0" borderId="0" xfId="0" applyNumberFormat="1" applyFont="1"/>
    <xf numFmtId="37" fontId="12" fillId="0" borderId="0" xfId="0" applyNumberFormat="1" applyFont="1"/>
    <xf numFmtId="164" fontId="31" fillId="4" borderId="0" xfId="0" applyNumberFormat="1" applyFont="1" applyFill="1" applyAlignment="1">
      <alignment horizontal="left"/>
    </xf>
    <xf numFmtId="37" fontId="9" fillId="0" borderId="0" xfId="0" applyNumberFormat="1" applyFont="1" applyAlignment="1">
      <alignment horizontal="right"/>
    </xf>
    <xf numFmtId="0" fontId="31" fillId="0" borderId="0" xfId="0" applyFont="1" applyAlignment="1">
      <alignment horizontal="right"/>
    </xf>
    <xf numFmtId="37" fontId="2" fillId="0" borderId="0" xfId="0" quotePrefix="1" applyNumberFormat="1" applyFont="1"/>
    <xf numFmtId="37" fontId="2" fillId="0" borderId="0" xfId="0" applyNumberFormat="1" applyFont="1" applyAlignment="1">
      <alignment horizontal="left"/>
    </xf>
    <xf numFmtId="164" fontId="33" fillId="0" borderId="0" xfId="0" applyNumberFormat="1" applyFont="1" applyAlignment="1">
      <alignment horizontal="left"/>
    </xf>
    <xf numFmtId="168" fontId="33" fillId="0" borderId="0" xfId="0" applyNumberFormat="1" applyFont="1"/>
    <xf numFmtId="164" fontId="35" fillId="0" borderId="0" xfId="0" applyNumberFormat="1" applyFont="1" applyAlignment="1">
      <alignment horizontal="left"/>
    </xf>
    <xf numFmtId="169" fontId="33" fillId="0" borderId="0" xfId="0" applyNumberFormat="1" applyFont="1"/>
    <xf numFmtId="169" fontId="30" fillId="0" borderId="0" xfId="0" applyNumberFormat="1" applyFont="1"/>
    <xf numFmtId="169" fontId="14" fillId="0" borderId="0" xfId="0" applyNumberFormat="1" applyFont="1"/>
    <xf numFmtId="164" fontId="31" fillId="0" borderId="0" xfId="0" applyNumberFormat="1" applyFont="1"/>
    <xf numFmtId="164" fontId="35" fillId="0" borderId="0" xfId="0" applyNumberFormat="1" applyFont="1"/>
    <xf numFmtId="37" fontId="14" fillId="3" borderId="0" xfId="0" applyNumberFormat="1" applyFont="1" applyFill="1"/>
    <xf numFmtId="170" fontId="31" fillId="0" borderId="0" xfId="0" applyNumberFormat="1" applyFont="1" applyAlignment="1">
      <alignment horizontal="left"/>
    </xf>
    <xf numFmtId="170" fontId="35" fillId="0" borderId="0" xfId="0" applyNumberFormat="1" applyFont="1" applyAlignment="1">
      <alignment horizontal="left"/>
    </xf>
    <xf numFmtId="171" fontId="33" fillId="0" borderId="0" xfId="0" applyNumberFormat="1" applyFont="1"/>
    <xf numFmtId="170" fontId="14" fillId="0" borderId="0" xfId="0" applyNumberFormat="1" applyFont="1"/>
    <xf numFmtId="10" fontId="30" fillId="0" borderId="0" xfId="0" applyNumberFormat="1" applyFont="1"/>
    <xf numFmtId="164" fontId="9" fillId="0" borderId="0" xfId="0" applyNumberFormat="1" applyFont="1" applyAlignment="1">
      <alignment horizontal="left"/>
    </xf>
    <xf numFmtId="37" fontId="36" fillId="0" borderId="0" xfId="0" applyNumberFormat="1" applyFont="1"/>
    <xf numFmtId="167" fontId="11" fillId="0" borderId="0" xfId="0" applyNumberFormat="1" applyFont="1"/>
    <xf numFmtId="167" fontId="22" fillId="0" borderId="0" xfId="0" applyNumberFormat="1" applyFont="1"/>
    <xf numFmtId="37" fontId="37" fillId="0" borderId="1" xfId="0" applyNumberFormat="1" applyFont="1" applyBorder="1"/>
    <xf numFmtId="37" fontId="10" fillId="0" borderId="4" xfId="0" applyNumberFormat="1" applyFont="1" applyBorder="1"/>
    <xf numFmtId="37" fontId="39" fillId="0" borderId="4" xfId="0" applyNumberFormat="1" applyFont="1" applyBorder="1"/>
    <xf numFmtId="37" fontId="40" fillId="0" borderId="4" xfId="0" applyNumberFormat="1" applyFont="1" applyBorder="1" applyAlignment="1">
      <alignment horizontal="right"/>
    </xf>
    <xf numFmtId="164" fontId="40" fillId="0" borderId="4" xfId="0" applyNumberFormat="1" applyFont="1" applyBorder="1" applyAlignment="1">
      <alignment horizontal="left"/>
    </xf>
    <xf numFmtId="164" fontId="41" fillId="0" borderId="4" xfId="0" applyNumberFormat="1" applyFont="1" applyBorder="1" applyAlignment="1">
      <alignment horizontal="left"/>
    </xf>
    <xf numFmtId="37" fontId="42" fillId="0" borderId="0" xfId="0" applyNumberFormat="1" applyFont="1"/>
    <xf numFmtId="37" fontId="4" fillId="0" borderId="0" xfId="0" applyNumberFormat="1" applyFont="1"/>
    <xf numFmtId="37" fontId="40" fillId="0" borderId="0" xfId="0" applyNumberFormat="1" applyFont="1"/>
    <xf numFmtId="1" fontId="2" fillId="0" borderId="2" xfId="0" applyNumberFormat="1" applyFont="1" applyBorder="1"/>
    <xf numFmtId="37" fontId="43" fillId="0" borderId="0" xfId="0" applyNumberFormat="1" applyFont="1"/>
    <xf numFmtId="37" fontId="23" fillId="0" borderId="0" xfId="0" applyNumberFormat="1" applyFont="1" applyAlignment="1">
      <alignment horizontal="right"/>
    </xf>
    <xf numFmtId="164" fontId="23" fillId="0" borderId="0" xfId="0" applyNumberFormat="1" applyFont="1" applyAlignment="1">
      <alignment horizontal="left"/>
    </xf>
    <xf numFmtId="1" fontId="2" fillId="0" borderId="3" xfId="0" applyNumberFormat="1" applyFont="1" applyBorder="1"/>
    <xf numFmtId="37" fontId="45" fillId="0" borderId="5" xfId="0" applyNumberFormat="1" applyFont="1" applyBorder="1"/>
    <xf numFmtId="37" fontId="30" fillId="0" borderId="5" xfId="0" applyNumberFormat="1" applyFont="1" applyBorder="1"/>
    <xf numFmtId="37" fontId="23" fillId="0" borderId="5" xfId="0" applyNumberFormat="1" applyFont="1" applyBorder="1" applyAlignment="1">
      <alignment horizontal="right"/>
    </xf>
    <xf numFmtId="164" fontId="23" fillId="0" borderId="5" xfId="0" applyNumberFormat="1" applyFont="1" applyBorder="1" applyAlignment="1">
      <alignment horizontal="left"/>
    </xf>
    <xf numFmtId="164" fontId="33" fillId="0" borderId="5" xfId="0" applyNumberFormat="1" applyFont="1" applyBorder="1" applyAlignment="1">
      <alignment horizontal="left"/>
    </xf>
    <xf numFmtId="37" fontId="48" fillId="0" borderId="0" xfId="0" applyNumberFormat="1" applyFont="1"/>
    <xf numFmtId="164" fontId="30" fillId="0" borderId="0" xfId="0" applyNumberFormat="1" applyFont="1" applyAlignment="1">
      <alignment horizontal="left"/>
    </xf>
    <xf numFmtId="164" fontId="14" fillId="0" borderId="0" xfId="0" applyNumberFormat="1" applyFont="1" applyAlignment="1">
      <alignment horizontal="left"/>
    </xf>
    <xf numFmtId="37" fontId="34" fillId="2" borderId="6" xfId="0" applyNumberFormat="1" applyFont="1" applyFill="1" applyBorder="1"/>
    <xf numFmtId="37" fontId="34" fillId="2" borderId="7" xfId="0" applyNumberFormat="1" applyFont="1" applyFill="1" applyBorder="1"/>
    <xf numFmtId="37" fontId="30" fillId="0" borderId="0" xfId="0" applyNumberFormat="1" applyFont="1" applyAlignment="1">
      <alignment horizontal="right"/>
    </xf>
  </cellXfs>
  <cellStyles count="4">
    <cellStyle name="Normal" xfId="0" builtinId="0"/>
    <cellStyle name="Normal 2 3" xfId="2" xr:uid="{4DE1BB51-1145-44EB-A17F-4D8091F5CF67}"/>
    <cellStyle name="Normal_Jss2002pf" xfId="3" xr:uid="{A1AB0986-31DD-4B83-9239-773EDF59823A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87D10-9001-4F86-B545-FC1264723CF0}">
  <sheetPr>
    <tabColor theme="1"/>
  </sheetPr>
  <dimension ref="A1:S1151"/>
  <sheetViews>
    <sheetView tabSelected="1" view="pageBreakPreview" zoomScale="140" zoomScaleNormal="100" zoomScaleSheetLayoutView="140" workbookViewId="0"/>
  </sheetViews>
  <sheetFormatPr defaultRowHeight="10.199999999999999" x14ac:dyDescent="0.2"/>
  <cols>
    <col min="1" max="1" width="5.109375" style="13" customWidth="1"/>
    <col min="2" max="2" width="2.6640625" style="42" customWidth="1"/>
    <col min="3" max="3" width="34.6640625" style="42" customWidth="1"/>
    <col min="4" max="4" width="1.5546875" style="98" customWidth="1"/>
    <col min="5" max="5" width="8.44140625" style="99" bestFit="1" customWidth="1"/>
    <col min="6" max="6" width="0.5546875" style="69" customWidth="1"/>
    <col min="7" max="7" width="13.6640625" style="42" customWidth="1"/>
    <col min="8" max="8" width="13.33203125" style="42" customWidth="1"/>
    <col min="9" max="9" width="11.88671875" style="42" customWidth="1"/>
    <col min="10" max="10" width="11.44140625" style="20" customWidth="1"/>
    <col min="11" max="11" width="10.109375" style="12" customWidth="1"/>
    <col min="12" max="19" width="11.44140625" style="21" customWidth="1"/>
    <col min="20" max="148" width="10.109375" style="12" customWidth="1"/>
    <col min="149" max="236" width="9.109375" style="12"/>
    <col min="237" max="237" width="5.109375" style="12" customWidth="1"/>
    <col min="238" max="238" width="2.6640625" style="12" customWidth="1"/>
    <col min="239" max="239" width="30.6640625" style="12" customWidth="1"/>
    <col min="240" max="240" width="1.5546875" style="12" customWidth="1"/>
    <col min="241" max="241" width="5" style="12" customWidth="1"/>
    <col min="242" max="242" width="0.5546875" style="12" customWidth="1"/>
    <col min="243" max="243" width="13.6640625" style="12" customWidth="1"/>
    <col min="244" max="244" width="13.33203125" style="12" customWidth="1"/>
    <col min="245" max="245" width="11.88671875" style="12" customWidth="1"/>
    <col min="246" max="246" width="10.88671875" style="12" customWidth="1"/>
    <col min="247" max="247" width="8.44140625" style="12" customWidth="1"/>
    <col min="248" max="248" width="9" style="12" customWidth="1"/>
    <col min="249" max="249" width="9.88671875" style="12" customWidth="1"/>
    <col min="250" max="250" width="9.33203125" style="12" customWidth="1"/>
    <col min="251" max="251" width="10" style="12" customWidth="1"/>
    <col min="252" max="252" width="9.109375" style="12" customWidth="1"/>
    <col min="253" max="253" width="9.33203125" style="12" customWidth="1"/>
    <col min="254" max="254" width="7.88671875" style="12" customWidth="1"/>
    <col min="255" max="255" width="9.88671875" style="12" customWidth="1"/>
    <col min="256" max="256" width="10.109375" style="12" customWidth="1"/>
    <col min="257" max="257" width="9.33203125" style="12" customWidth="1"/>
    <col min="258" max="258" width="6.33203125" style="12" customWidth="1"/>
    <col min="259" max="260" width="8.44140625" style="12" customWidth="1"/>
    <col min="261" max="261" width="13.6640625" style="12" customWidth="1"/>
    <col min="262" max="263" width="11.109375" style="12" customWidth="1"/>
    <col min="264" max="264" width="2.44140625" style="12" customWidth="1"/>
    <col min="265" max="265" width="10.109375" style="12" customWidth="1"/>
    <col min="266" max="266" width="11.44140625" style="12" customWidth="1"/>
    <col min="267" max="267" width="10.109375" style="12" customWidth="1"/>
    <col min="268" max="275" width="11.44140625" style="12" customWidth="1"/>
    <col min="276" max="404" width="10.109375" style="12" customWidth="1"/>
    <col min="405" max="492" width="9.109375" style="12"/>
    <col min="493" max="493" width="5.109375" style="12" customWidth="1"/>
    <col min="494" max="494" width="2.6640625" style="12" customWidth="1"/>
    <col min="495" max="495" width="30.6640625" style="12" customWidth="1"/>
    <col min="496" max="496" width="1.5546875" style="12" customWidth="1"/>
    <col min="497" max="497" width="5" style="12" customWidth="1"/>
    <col min="498" max="498" width="0.5546875" style="12" customWidth="1"/>
    <col min="499" max="499" width="13.6640625" style="12" customWidth="1"/>
    <col min="500" max="500" width="13.33203125" style="12" customWidth="1"/>
    <col min="501" max="501" width="11.88671875" style="12" customWidth="1"/>
    <col min="502" max="502" width="10.88671875" style="12" customWidth="1"/>
    <col min="503" max="503" width="8.44140625" style="12" customWidth="1"/>
    <col min="504" max="504" width="9" style="12" customWidth="1"/>
    <col min="505" max="505" width="9.88671875" style="12" customWidth="1"/>
    <col min="506" max="506" width="9.33203125" style="12" customWidth="1"/>
    <col min="507" max="507" width="10" style="12" customWidth="1"/>
    <col min="508" max="508" width="9.109375" style="12" customWidth="1"/>
    <col min="509" max="509" width="9.33203125" style="12" customWidth="1"/>
    <col min="510" max="510" width="7.88671875" style="12" customWidth="1"/>
    <col min="511" max="511" width="9.88671875" style="12" customWidth="1"/>
    <col min="512" max="512" width="10.109375" style="12" customWidth="1"/>
    <col min="513" max="513" width="9.33203125" style="12" customWidth="1"/>
    <col min="514" max="514" width="6.33203125" style="12" customWidth="1"/>
    <col min="515" max="516" width="8.44140625" style="12" customWidth="1"/>
    <col min="517" max="517" width="13.6640625" style="12" customWidth="1"/>
    <col min="518" max="519" width="11.109375" style="12" customWidth="1"/>
    <col min="520" max="520" width="2.44140625" style="12" customWidth="1"/>
    <col min="521" max="521" width="10.109375" style="12" customWidth="1"/>
    <col min="522" max="522" width="11.44140625" style="12" customWidth="1"/>
    <col min="523" max="523" width="10.109375" style="12" customWidth="1"/>
    <col min="524" max="531" width="11.44140625" style="12" customWidth="1"/>
    <col min="532" max="660" width="10.109375" style="12" customWidth="1"/>
    <col min="661" max="748" width="9.109375" style="12"/>
    <col min="749" max="749" width="5.109375" style="12" customWidth="1"/>
    <col min="750" max="750" width="2.6640625" style="12" customWidth="1"/>
    <col min="751" max="751" width="30.6640625" style="12" customWidth="1"/>
    <col min="752" max="752" width="1.5546875" style="12" customWidth="1"/>
    <col min="753" max="753" width="5" style="12" customWidth="1"/>
    <col min="754" max="754" width="0.5546875" style="12" customWidth="1"/>
    <col min="755" max="755" width="13.6640625" style="12" customWidth="1"/>
    <col min="756" max="756" width="13.33203125" style="12" customWidth="1"/>
    <col min="757" max="757" width="11.88671875" style="12" customWidth="1"/>
    <col min="758" max="758" width="10.88671875" style="12" customWidth="1"/>
    <col min="759" max="759" width="8.44140625" style="12" customWidth="1"/>
    <col min="760" max="760" width="9" style="12" customWidth="1"/>
    <col min="761" max="761" width="9.88671875" style="12" customWidth="1"/>
    <col min="762" max="762" width="9.33203125" style="12" customWidth="1"/>
    <col min="763" max="763" width="10" style="12" customWidth="1"/>
    <col min="764" max="764" width="9.109375" style="12" customWidth="1"/>
    <col min="765" max="765" width="9.33203125" style="12" customWidth="1"/>
    <col min="766" max="766" width="7.88671875" style="12" customWidth="1"/>
    <col min="767" max="767" width="9.88671875" style="12" customWidth="1"/>
    <col min="768" max="768" width="10.109375" style="12" customWidth="1"/>
    <col min="769" max="769" width="9.33203125" style="12" customWidth="1"/>
    <col min="770" max="770" width="6.33203125" style="12" customWidth="1"/>
    <col min="771" max="772" width="8.44140625" style="12" customWidth="1"/>
    <col min="773" max="773" width="13.6640625" style="12" customWidth="1"/>
    <col min="774" max="775" width="11.109375" style="12" customWidth="1"/>
    <col min="776" max="776" width="2.44140625" style="12" customWidth="1"/>
    <col min="777" max="777" width="10.109375" style="12" customWidth="1"/>
    <col min="778" max="778" width="11.44140625" style="12" customWidth="1"/>
    <col min="779" max="779" width="10.109375" style="12" customWidth="1"/>
    <col min="780" max="787" width="11.44140625" style="12" customWidth="1"/>
    <col min="788" max="916" width="10.109375" style="12" customWidth="1"/>
    <col min="917" max="1004" width="9.109375" style="12"/>
    <col min="1005" max="1005" width="5.109375" style="12" customWidth="1"/>
    <col min="1006" max="1006" width="2.6640625" style="12" customWidth="1"/>
    <col min="1007" max="1007" width="30.6640625" style="12" customWidth="1"/>
    <col min="1008" max="1008" width="1.5546875" style="12" customWidth="1"/>
    <col min="1009" max="1009" width="5" style="12" customWidth="1"/>
    <col min="1010" max="1010" width="0.5546875" style="12" customWidth="1"/>
    <col min="1011" max="1011" width="13.6640625" style="12" customWidth="1"/>
    <col min="1012" max="1012" width="13.33203125" style="12" customWidth="1"/>
    <col min="1013" max="1013" width="11.88671875" style="12" customWidth="1"/>
    <col min="1014" max="1014" width="10.88671875" style="12" customWidth="1"/>
    <col min="1015" max="1015" width="8.44140625" style="12" customWidth="1"/>
    <col min="1016" max="1016" width="9" style="12" customWidth="1"/>
    <col min="1017" max="1017" width="9.88671875" style="12" customWidth="1"/>
    <col min="1018" max="1018" width="9.33203125" style="12" customWidth="1"/>
    <col min="1019" max="1019" width="10" style="12" customWidth="1"/>
    <col min="1020" max="1020" width="9.109375" style="12" customWidth="1"/>
    <col min="1021" max="1021" width="9.33203125" style="12" customWidth="1"/>
    <col min="1022" max="1022" width="7.88671875" style="12" customWidth="1"/>
    <col min="1023" max="1023" width="9.88671875" style="12" customWidth="1"/>
    <col min="1024" max="1024" width="10.109375" style="12" customWidth="1"/>
    <col min="1025" max="1025" width="9.33203125" style="12" customWidth="1"/>
    <col min="1026" max="1026" width="6.33203125" style="12" customWidth="1"/>
    <col min="1027" max="1028" width="8.44140625" style="12" customWidth="1"/>
    <col min="1029" max="1029" width="13.6640625" style="12" customWidth="1"/>
    <col min="1030" max="1031" width="11.109375" style="12" customWidth="1"/>
    <col min="1032" max="1032" width="2.44140625" style="12" customWidth="1"/>
    <col min="1033" max="1033" width="10.109375" style="12" customWidth="1"/>
    <col min="1034" max="1034" width="11.44140625" style="12" customWidth="1"/>
    <col min="1035" max="1035" width="10.109375" style="12" customWidth="1"/>
    <col min="1036" max="1043" width="11.44140625" style="12" customWidth="1"/>
    <col min="1044" max="1172" width="10.109375" style="12" customWidth="1"/>
    <col min="1173" max="1260" width="9.109375" style="12"/>
    <col min="1261" max="1261" width="5.109375" style="12" customWidth="1"/>
    <col min="1262" max="1262" width="2.6640625" style="12" customWidth="1"/>
    <col min="1263" max="1263" width="30.6640625" style="12" customWidth="1"/>
    <col min="1264" max="1264" width="1.5546875" style="12" customWidth="1"/>
    <col min="1265" max="1265" width="5" style="12" customWidth="1"/>
    <col min="1266" max="1266" width="0.5546875" style="12" customWidth="1"/>
    <col min="1267" max="1267" width="13.6640625" style="12" customWidth="1"/>
    <col min="1268" max="1268" width="13.33203125" style="12" customWidth="1"/>
    <col min="1269" max="1269" width="11.88671875" style="12" customWidth="1"/>
    <col min="1270" max="1270" width="10.88671875" style="12" customWidth="1"/>
    <col min="1271" max="1271" width="8.44140625" style="12" customWidth="1"/>
    <col min="1272" max="1272" width="9" style="12" customWidth="1"/>
    <col min="1273" max="1273" width="9.88671875" style="12" customWidth="1"/>
    <col min="1274" max="1274" width="9.33203125" style="12" customWidth="1"/>
    <col min="1275" max="1275" width="10" style="12" customWidth="1"/>
    <col min="1276" max="1276" width="9.109375" style="12" customWidth="1"/>
    <col min="1277" max="1277" width="9.33203125" style="12" customWidth="1"/>
    <col min="1278" max="1278" width="7.88671875" style="12" customWidth="1"/>
    <col min="1279" max="1279" width="9.88671875" style="12" customWidth="1"/>
    <col min="1280" max="1280" width="10.109375" style="12" customWidth="1"/>
    <col min="1281" max="1281" width="9.33203125" style="12" customWidth="1"/>
    <col min="1282" max="1282" width="6.33203125" style="12" customWidth="1"/>
    <col min="1283" max="1284" width="8.44140625" style="12" customWidth="1"/>
    <col min="1285" max="1285" width="13.6640625" style="12" customWidth="1"/>
    <col min="1286" max="1287" width="11.109375" style="12" customWidth="1"/>
    <col min="1288" max="1288" width="2.44140625" style="12" customWidth="1"/>
    <col min="1289" max="1289" width="10.109375" style="12" customWidth="1"/>
    <col min="1290" max="1290" width="11.44140625" style="12" customWidth="1"/>
    <col min="1291" max="1291" width="10.109375" style="12" customWidth="1"/>
    <col min="1292" max="1299" width="11.44140625" style="12" customWidth="1"/>
    <col min="1300" max="1428" width="10.109375" style="12" customWidth="1"/>
    <col min="1429" max="1516" width="9.109375" style="12"/>
    <col min="1517" max="1517" width="5.109375" style="12" customWidth="1"/>
    <col min="1518" max="1518" width="2.6640625" style="12" customWidth="1"/>
    <col min="1519" max="1519" width="30.6640625" style="12" customWidth="1"/>
    <col min="1520" max="1520" width="1.5546875" style="12" customWidth="1"/>
    <col min="1521" max="1521" width="5" style="12" customWidth="1"/>
    <col min="1522" max="1522" width="0.5546875" style="12" customWidth="1"/>
    <col min="1523" max="1523" width="13.6640625" style="12" customWidth="1"/>
    <col min="1524" max="1524" width="13.33203125" style="12" customWidth="1"/>
    <col min="1525" max="1525" width="11.88671875" style="12" customWidth="1"/>
    <col min="1526" max="1526" width="10.88671875" style="12" customWidth="1"/>
    <col min="1527" max="1527" width="8.44140625" style="12" customWidth="1"/>
    <col min="1528" max="1528" width="9" style="12" customWidth="1"/>
    <col min="1529" max="1529" width="9.88671875" style="12" customWidth="1"/>
    <col min="1530" max="1530" width="9.33203125" style="12" customWidth="1"/>
    <col min="1531" max="1531" width="10" style="12" customWidth="1"/>
    <col min="1532" max="1532" width="9.109375" style="12" customWidth="1"/>
    <col min="1533" max="1533" width="9.33203125" style="12" customWidth="1"/>
    <col min="1534" max="1534" width="7.88671875" style="12" customWidth="1"/>
    <col min="1535" max="1535" width="9.88671875" style="12" customWidth="1"/>
    <col min="1536" max="1536" width="10.109375" style="12" customWidth="1"/>
    <col min="1537" max="1537" width="9.33203125" style="12" customWidth="1"/>
    <col min="1538" max="1538" width="6.33203125" style="12" customWidth="1"/>
    <col min="1539" max="1540" width="8.44140625" style="12" customWidth="1"/>
    <col min="1541" max="1541" width="13.6640625" style="12" customWidth="1"/>
    <col min="1542" max="1543" width="11.109375" style="12" customWidth="1"/>
    <col min="1544" max="1544" width="2.44140625" style="12" customWidth="1"/>
    <col min="1545" max="1545" width="10.109375" style="12" customWidth="1"/>
    <col min="1546" max="1546" width="11.44140625" style="12" customWidth="1"/>
    <col min="1547" max="1547" width="10.109375" style="12" customWidth="1"/>
    <col min="1548" max="1555" width="11.44140625" style="12" customWidth="1"/>
    <col min="1556" max="1684" width="10.109375" style="12" customWidth="1"/>
    <col min="1685" max="1772" width="9.109375" style="12"/>
    <col min="1773" max="1773" width="5.109375" style="12" customWidth="1"/>
    <col min="1774" max="1774" width="2.6640625" style="12" customWidth="1"/>
    <col min="1775" max="1775" width="30.6640625" style="12" customWidth="1"/>
    <col min="1776" max="1776" width="1.5546875" style="12" customWidth="1"/>
    <col min="1777" max="1777" width="5" style="12" customWidth="1"/>
    <col min="1778" max="1778" width="0.5546875" style="12" customWidth="1"/>
    <col min="1779" max="1779" width="13.6640625" style="12" customWidth="1"/>
    <col min="1780" max="1780" width="13.33203125" style="12" customWidth="1"/>
    <col min="1781" max="1781" width="11.88671875" style="12" customWidth="1"/>
    <col min="1782" max="1782" width="10.88671875" style="12" customWidth="1"/>
    <col min="1783" max="1783" width="8.44140625" style="12" customWidth="1"/>
    <col min="1784" max="1784" width="9" style="12" customWidth="1"/>
    <col min="1785" max="1785" width="9.88671875" style="12" customWidth="1"/>
    <col min="1786" max="1786" width="9.33203125" style="12" customWidth="1"/>
    <col min="1787" max="1787" width="10" style="12" customWidth="1"/>
    <col min="1788" max="1788" width="9.109375" style="12" customWidth="1"/>
    <col min="1789" max="1789" width="9.33203125" style="12" customWidth="1"/>
    <col min="1790" max="1790" width="7.88671875" style="12" customWidth="1"/>
    <col min="1791" max="1791" width="9.88671875" style="12" customWidth="1"/>
    <col min="1792" max="1792" width="10.109375" style="12" customWidth="1"/>
    <col min="1793" max="1793" width="9.33203125" style="12" customWidth="1"/>
    <col min="1794" max="1794" width="6.33203125" style="12" customWidth="1"/>
    <col min="1795" max="1796" width="8.44140625" style="12" customWidth="1"/>
    <col min="1797" max="1797" width="13.6640625" style="12" customWidth="1"/>
    <col min="1798" max="1799" width="11.109375" style="12" customWidth="1"/>
    <col min="1800" max="1800" width="2.44140625" style="12" customWidth="1"/>
    <col min="1801" max="1801" width="10.109375" style="12" customWidth="1"/>
    <col min="1802" max="1802" width="11.44140625" style="12" customWidth="1"/>
    <col min="1803" max="1803" width="10.109375" style="12" customWidth="1"/>
    <col min="1804" max="1811" width="11.44140625" style="12" customWidth="1"/>
    <col min="1812" max="1940" width="10.109375" style="12" customWidth="1"/>
    <col min="1941" max="2028" width="9.109375" style="12"/>
    <col min="2029" max="2029" width="5.109375" style="12" customWidth="1"/>
    <col min="2030" max="2030" width="2.6640625" style="12" customWidth="1"/>
    <col min="2031" max="2031" width="30.6640625" style="12" customWidth="1"/>
    <col min="2032" max="2032" width="1.5546875" style="12" customWidth="1"/>
    <col min="2033" max="2033" width="5" style="12" customWidth="1"/>
    <col min="2034" max="2034" width="0.5546875" style="12" customWidth="1"/>
    <col min="2035" max="2035" width="13.6640625" style="12" customWidth="1"/>
    <col min="2036" max="2036" width="13.33203125" style="12" customWidth="1"/>
    <col min="2037" max="2037" width="11.88671875" style="12" customWidth="1"/>
    <col min="2038" max="2038" width="10.88671875" style="12" customWidth="1"/>
    <col min="2039" max="2039" width="8.44140625" style="12" customWidth="1"/>
    <col min="2040" max="2040" width="9" style="12" customWidth="1"/>
    <col min="2041" max="2041" width="9.88671875" style="12" customWidth="1"/>
    <col min="2042" max="2042" width="9.33203125" style="12" customWidth="1"/>
    <col min="2043" max="2043" width="10" style="12" customWidth="1"/>
    <col min="2044" max="2044" width="9.109375" style="12" customWidth="1"/>
    <col min="2045" max="2045" width="9.33203125" style="12" customWidth="1"/>
    <col min="2046" max="2046" width="7.88671875" style="12" customWidth="1"/>
    <col min="2047" max="2047" width="9.88671875" style="12" customWidth="1"/>
    <col min="2048" max="2048" width="10.109375" style="12" customWidth="1"/>
    <col min="2049" max="2049" width="9.33203125" style="12" customWidth="1"/>
    <col min="2050" max="2050" width="6.33203125" style="12" customWidth="1"/>
    <col min="2051" max="2052" width="8.44140625" style="12" customWidth="1"/>
    <col min="2053" max="2053" width="13.6640625" style="12" customWidth="1"/>
    <col min="2054" max="2055" width="11.109375" style="12" customWidth="1"/>
    <col min="2056" max="2056" width="2.44140625" style="12" customWidth="1"/>
    <col min="2057" max="2057" width="10.109375" style="12" customWidth="1"/>
    <col min="2058" max="2058" width="11.44140625" style="12" customWidth="1"/>
    <col min="2059" max="2059" width="10.109375" style="12" customWidth="1"/>
    <col min="2060" max="2067" width="11.44140625" style="12" customWidth="1"/>
    <col min="2068" max="2196" width="10.109375" style="12" customWidth="1"/>
    <col min="2197" max="2284" width="9.109375" style="12"/>
    <col min="2285" max="2285" width="5.109375" style="12" customWidth="1"/>
    <col min="2286" max="2286" width="2.6640625" style="12" customWidth="1"/>
    <col min="2287" max="2287" width="30.6640625" style="12" customWidth="1"/>
    <col min="2288" max="2288" width="1.5546875" style="12" customWidth="1"/>
    <col min="2289" max="2289" width="5" style="12" customWidth="1"/>
    <col min="2290" max="2290" width="0.5546875" style="12" customWidth="1"/>
    <col min="2291" max="2291" width="13.6640625" style="12" customWidth="1"/>
    <col min="2292" max="2292" width="13.33203125" style="12" customWidth="1"/>
    <col min="2293" max="2293" width="11.88671875" style="12" customWidth="1"/>
    <col min="2294" max="2294" width="10.88671875" style="12" customWidth="1"/>
    <col min="2295" max="2295" width="8.44140625" style="12" customWidth="1"/>
    <col min="2296" max="2296" width="9" style="12" customWidth="1"/>
    <col min="2297" max="2297" width="9.88671875" style="12" customWidth="1"/>
    <col min="2298" max="2298" width="9.33203125" style="12" customWidth="1"/>
    <col min="2299" max="2299" width="10" style="12" customWidth="1"/>
    <col min="2300" max="2300" width="9.109375" style="12" customWidth="1"/>
    <col min="2301" max="2301" width="9.33203125" style="12" customWidth="1"/>
    <col min="2302" max="2302" width="7.88671875" style="12" customWidth="1"/>
    <col min="2303" max="2303" width="9.88671875" style="12" customWidth="1"/>
    <col min="2304" max="2304" width="10.109375" style="12" customWidth="1"/>
    <col min="2305" max="2305" width="9.33203125" style="12" customWidth="1"/>
    <col min="2306" max="2306" width="6.33203125" style="12" customWidth="1"/>
    <col min="2307" max="2308" width="8.44140625" style="12" customWidth="1"/>
    <col min="2309" max="2309" width="13.6640625" style="12" customWidth="1"/>
    <col min="2310" max="2311" width="11.109375" style="12" customWidth="1"/>
    <col min="2312" max="2312" width="2.44140625" style="12" customWidth="1"/>
    <col min="2313" max="2313" width="10.109375" style="12" customWidth="1"/>
    <col min="2314" max="2314" width="11.44140625" style="12" customWidth="1"/>
    <col min="2315" max="2315" width="10.109375" style="12" customWidth="1"/>
    <col min="2316" max="2323" width="11.44140625" style="12" customWidth="1"/>
    <col min="2324" max="2452" width="10.109375" style="12" customWidth="1"/>
    <col min="2453" max="2540" width="9.109375" style="12"/>
    <col min="2541" max="2541" width="5.109375" style="12" customWidth="1"/>
    <col min="2542" max="2542" width="2.6640625" style="12" customWidth="1"/>
    <col min="2543" max="2543" width="30.6640625" style="12" customWidth="1"/>
    <col min="2544" max="2544" width="1.5546875" style="12" customWidth="1"/>
    <col min="2545" max="2545" width="5" style="12" customWidth="1"/>
    <col min="2546" max="2546" width="0.5546875" style="12" customWidth="1"/>
    <col min="2547" max="2547" width="13.6640625" style="12" customWidth="1"/>
    <col min="2548" max="2548" width="13.33203125" style="12" customWidth="1"/>
    <col min="2549" max="2549" width="11.88671875" style="12" customWidth="1"/>
    <col min="2550" max="2550" width="10.88671875" style="12" customWidth="1"/>
    <col min="2551" max="2551" width="8.44140625" style="12" customWidth="1"/>
    <col min="2552" max="2552" width="9" style="12" customWidth="1"/>
    <col min="2553" max="2553" width="9.88671875" style="12" customWidth="1"/>
    <col min="2554" max="2554" width="9.33203125" style="12" customWidth="1"/>
    <col min="2555" max="2555" width="10" style="12" customWidth="1"/>
    <col min="2556" max="2556" width="9.109375" style="12" customWidth="1"/>
    <col min="2557" max="2557" width="9.33203125" style="12" customWidth="1"/>
    <col min="2558" max="2558" width="7.88671875" style="12" customWidth="1"/>
    <col min="2559" max="2559" width="9.88671875" style="12" customWidth="1"/>
    <col min="2560" max="2560" width="10.109375" style="12" customWidth="1"/>
    <col min="2561" max="2561" width="9.33203125" style="12" customWidth="1"/>
    <col min="2562" max="2562" width="6.33203125" style="12" customWidth="1"/>
    <col min="2563" max="2564" width="8.44140625" style="12" customWidth="1"/>
    <col min="2565" max="2565" width="13.6640625" style="12" customWidth="1"/>
    <col min="2566" max="2567" width="11.109375" style="12" customWidth="1"/>
    <col min="2568" max="2568" width="2.44140625" style="12" customWidth="1"/>
    <col min="2569" max="2569" width="10.109375" style="12" customWidth="1"/>
    <col min="2570" max="2570" width="11.44140625" style="12" customWidth="1"/>
    <col min="2571" max="2571" width="10.109375" style="12" customWidth="1"/>
    <col min="2572" max="2579" width="11.44140625" style="12" customWidth="1"/>
    <col min="2580" max="2708" width="10.109375" style="12" customWidth="1"/>
    <col min="2709" max="2796" width="9.109375" style="12"/>
    <col min="2797" max="2797" width="5.109375" style="12" customWidth="1"/>
    <col min="2798" max="2798" width="2.6640625" style="12" customWidth="1"/>
    <col min="2799" max="2799" width="30.6640625" style="12" customWidth="1"/>
    <col min="2800" max="2800" width="1.5546875" style="12" customWidth="1"/>
    <col min="2801" max="2801" width="5" style="12" customWidth="1"/>
    <col min="2802" max="2802" width="0.5546875" style="12" customWidth="1"/>
    <col min="2803" max="2803" width="13.6640625" style="12" customWidth="1"/>
    <col min="2804" max="2804" width="13.33203125" style="12" customWidth="1"/>
    <col min="2805" max="2805" width="11.88671875" style="12" customWidth="1"/>
    <col min="2806" max="2806" width="10.88671875" style="12" customWidth="1"/>
    <col min="2807" max="2807" width="8.44140625" style="12" customWidth="1"/>
    <col min="2808" max="2808" width="9" style="12" customWidth="1"/>
    <col min="2809" max="2809" width="9.88671875" style="12" customWidth="1"/>
    <col min="2810" max="2810" width="9.33203125" style="12" customWidth="1"/>
    <col min="2811" max="2811" width="10" style="12" customWidth="1"/>
    <col min="2812" max="2812" width="9.109375" style="12" customWidth="1"/>
    <col min="2813" max="2813" width="9.33203125" style="12" customWidth="1"/>
    <col min="2814" max="2814" width="7.88671875" style="12" customWidth="1"/>
    <col min="2815" max="2815" width="9.88671875" style="12" customWidth="1"/>
    <col min="2816" max="2816" width="10.109375" style="12" customWidth="1"/>
    <col min="2817" max="2817" width="9.33203125" style="12" customWidth="1"/>
    <col min="2818" max="2818" width="6.33203125" style="12" customWidth="1"/>
    <col min="2819" max="2820" width="8.44140625" style="12" customWidth="1"/>
    <col min="2821" max="2821" width="13.6640625" style="12" customWidth="1"/>
    <col min="2822" max="2823" width="11.109375" style="12" customWidth="1"/>
    <col min="2824" max="2824" width="2.44140625" style="12" customWidth="1"/>
    <col min="2825" max="2825" width="10.109375" style="12" customWidth="1"/>
    <col min="2826" max="2826" width="11.44140625" style="12" customWidth="1"/>
    <col min="2827" max="2827" width="10.109375" style="12" customWidth="1"/>
    <col min="2828" max="2835" width="11.44140625" style="12" customWidth="1"/>
    <col min="2836" max="2964" width="10.109375" style="12" customWidth="1"/>
    <col min="2965" max="3052" width="9.109375" style="12"/>
    <col min="3053" max="3053" width="5.109375" style="12" customWidth="1"/>
    <col min="3054" max="3054" width="2.6640625" style="12" customWidth="1"/>
    <col min="3055" max="3055" width="30.6640625" style="12" customWidth="1"/>
    <col min="3056" max="3056" width="1.5546875" style="12" customWidth="1"/>
    <col min="3057" max="3057" width="5" style="12" customWidth="1"/>
    <col min="3058" max="3058" width="0.5546875" style="12" customWidth="1"/>
    <col min="3059" max="3059" width="13.6640625" style="12" customWidth="1"/>
    <col min="3060" max="3060" width="13.33203125" style="12" customWidth="1"/>
    <col min="3061" max="3061" width="11.88671875" style="12" customWidth="1"/>
    <col min="3062" max="3062" width="10.88671875" style="12" customWidth="1"/>
    <col min="3063" max="3063" width="8.44140625" style="12" customWidth="1"/>
    <col min="3064" max="3064" width="9" style="12" customWidth="1"/>
    <col min="3065" max="3065" width="9.88671875" style="12" customWidth="1"/>
    <col min="3066" max="3066" width="9.33203125" style="12" customWidth="1"/>
    <col min="3067" max="3067" width="10" style="12" customWidth="1"/>
    <col min="3068" max="3068" width="9.109375" style="12" customWidth="1"/>
    <col min="3069" max="3069" width="9.33203125" style="12" customWidth="1"/>
    <col min="3070" max="3070" width="7.88671875" style="12" customWidth="1"/>
    <col min="3071" max="3071" width="9.88671875" style="12" customWidth="1"/>
    <col min="3072" max="3072" width="10.109375" style="12" customWidth="1"/>
    <col min="3073" max="3073" width="9.33203125" style="12" customWidth="1"/>
    <col min="3074" max="3074" width="6.33203125" style="12" customWidth="1"/>
    <col min="3075" max="3076" width="8.44140625" style="12" customWidth="1"/>
    <col min="3077" max="3077" width="13.6640625" style="12" customWidth="1"/>
    <col min="3078" max="3079" width="11.109375" style="12" customWidth="1"/>
    <col min="3080" max="3080" width="2.44140625" style="12" customWidth="1"/>
    <col min="3081" max="3081" width="10.109375" style="12" customWidth="1"/>
    <col min="3082" max="3082" width="11.44140625" style="12" customWidth="1"/>
    <col min="3083" max="3083" width="10.109375" style="12" customWidth="1"/>
    <col min="3084" max="3091" width="11.44140625" style="12" customWidth="1"/>
    <col min="3092" max="3220" width="10.109375" style="12" customWidth="1"/>
    <col min="3221" max="3308" width="9.109375" style="12"/>
    <col min="3309" max="3309" width="5.109375" style="12" customWidth="1"/>
    <col min="3310" max="3310" width="2.6640625" style="12" customWidth="1"/>
    <col min="3311" max="3311" width="30.6640625" style="12" customWidth="1"/>
    <col min="3312" max="3312" width="1.5546875" style="12" customWidth="1"/>
    <col min="3313" max="3313" width="5" style="12" customWidth="1"/>
    <col min="3314" max="3314" width="0.5546875" style="12" customWidth="1"/>
    <col min="3315" max="3315" width="13.6640625" style="12" customWidth="1"/>
    <col min="3316" max="3316" width="13.33203125" style="12" customWidth="1"/>
    <col min="3317" max="3317" width="11.88671875" style="12" customWidth="1"/>
    <col min="3318" max="3318" width="10.88671875" style="12" customWidth="1"/>
    <col min="3319" max="3319" width="8.44140625" style="12" customWidth="1"/>
    <col min="3320" max="3320" width="9" style="12" customWidth="1"/>
    <col min="3321" max="3321" width="9.88671875" style="12" customWidth="1"/>
    <col min="3322" max="3322" width="9.33203125" style="12" customWidth="1"/>
    <col min="3323" max="3323" width="10" style="12" customWidth="1"/>
    <col min="3324" max="3324" width="9.109375" style="12" customWidth="1"/>
    <col min="3325" max="3325" width="9.33203125" style="12" customWidth="1"/>
    <col min="3326" max="3326" width="7.88671875" style="12" customWidth="1"/>
    <col min="3327" max="3327" width="9.88671875" style="12" customWidth="1"/>
    <col min="3328" max="3328" width="10.109375" style="12" customWidth="1"/>
    <col min="3329" max="3329" width="9.33203125" style="12" customWidth="1"/>
    <col min="3330" max="3330" width="6.33203125" style="12" customWidth="1"/>
    <col min="3331" max="3332" width="8.44140625" style="12" customWidth="1"/>
    <col min="3333" max="3333" width="13.6640625" style="12" customWidth="1"/>
    <col min="3334" max="3335" width="11.109375" style="12" customWidth="1"/>
    <col min="3336" max="3336" width="2.44140625" style="12" customWidth="1"/>
    <col min="3337" max="3337" width="10.109375" style="12" customWidth="1"/>
    <col min="3338" max="3338" width="11.44140625" style="12" customWidth="1"/>
    <col min="3339" max="3339" width="10.109375" style="12" customWidth="1"/>
    <col min="3340" max="3347" width="11.44140625" style="12" customWidth="1"/>
    <col min="3348" max="3476" width="10.109375" style="12" customWidth="1"/>
    <col min="3477" max="3564" width="9.109375" style="12"/>
    <col min="3565" max="3565" width="5.109375" style="12" customWidth="1"/>
    <col min="3566" max="3566" width="2.6640625" style="12" customWidth="1"/>
    <col min="3567" max="3567" width="30.6640625" style="12" customWidth="1"/>
    <col min="3568" max="3568" width="1.5546875" style="12" customWidth="1"/>
    <col min="3569" max="3569" width="5" style="12" customWidth="1"/>
    <col min="3570" max="3570" width="0.5546875" style="12" customWidth="1"/>
    <col min="3571" max="3571" width="13.6640625" style="12" customWidth="1"/>
    <col min="3572" max="3572" width="13.33203125" style="12" customWidth="1"/>
    <col min="3573" max="3573" width="11.88671875" style="12" customWidth="1"/>
    <col min="3574" max="3574" width="10.88671875" style="12" customWidth="1"/>
    <col min="3575" max="3575" width="8.44140625" style="12" customWidth="1"/>
    <col min="3576" max="3576" width="9" style="12" customWidth="1"/>
    <col min="3577" max="3577" width="9.88671875" style="12" customWidth="1"/>
    <col min="3578" max="3578" width="9.33203125" style="12" customWidth="1"/>
    <col min="3579" max="3579" width="10" style="12" customWidth="1"/>
    <col min="3580" max="3580" width="9.109375" style="12" customWidth="1"/>
    <col min="3581" max="3581" width="9.33203125" style="12" customWidth="1"/>
    <col min="3582" max="3582" width="7.88671875" style="12" customWidth="1"/>
    <col min="3583" max="3583" width="9.88671875" style="12" customWidth="1"/>
    <col min="3584" max="3584" width="10.109375" style="12" customWidth="1"/>
    <col min="3585" max="3585" width="9.33203125" style="12" customWidth="1"/>
    <col min="3586" max="3586" width="6.33203125" style="12" customWidth="1"/>
    <col min="3587" max="3588" width="8.44140625" style="12" customWidth="1"/>
    <col min="3589" max="3589" width="13.6640625" style="12" customWidth="1"/>
    <col min="3590" max="3591" width="11.109375" style="12" customWidth="1"/>
    <col min="3592" max="3592" width="2.44140625" style="12" customWidth="1"/>
    <col min="3593" max="3593" width="10.109375" style="12" customWidth="1"/>
    <col min="3594" max="3594" width="11.44140625" style="12" customWidth="1"/>
    <col min="3595" max="3595" width="10.109375" style="12" customWidth="1"/>
    <col min="3596" max="3603" width="11.44140625" style="12" customWidth="1"/>
    <col min="3604" max="3732" width="10.109375" style="12" customWidth="1"/>
    <col min="3733" max="3820" width="9.109375" style="12"/>
    <col min="3821" max="3821" width="5.109375" style="12" customWidth="1"/>
    <col min="3822" max="3822" width="2.6640625" style="12" customWidth="1"/>
    <col min="3823" max="3823" width="30.6640625" style="12" customWidth="1"/>
    <col min="3824" max="3824" width="1.5546875" style="12" customWidth="1"/>
    <col min="3825" max="3825" width="5" style="12" customWidth="1"/>
    <col min="3826" max="3826" width="0.5546875" style="12" customWidth="1"/>
    <col min="3827" max="3827" width="13.6640625" style="12" customWidth="1"/>
    <col min="3828" max="3828" width="13.33203125" style="12" customWidth="1"/>
    <col min="3829" max="3829" width="11.88671875" style="12" customWidth="1"/>
    <col min="3830" max="3830" width="10.88671875" style="12" customWidth="1"/>
    <col min="3831" max="3831" width="8.44140625" style="12" customWidth="1"/>
    <col min="3832" max="3832" width="9" style="12" customWidth="1"/>
    <col min="3833" max="3833" width="9.88671875" style="12" customWidth="1"/>
    <col min="3834" max="3834" width="9.33203125" style="12" customWidth="1"/>
    <col min="3835" max="3835" width="10" style="12" customWidth="1"/>
    <col min="3836" max="3836" width="9.109375" style="12" customWidth="1"/>
    <col min="3837" max="3837" width="9.33203125" style="12" customWidth="1"/>
    <col min="3838" max="3838" width="7.88671875" style="12" customWidth="1"/>
    <col min="3839" max="3839" width="9.88671875" style="12" customWidth="1"/>
    <col min="3840" max="3840" width="10.109375" style="12" customWidth="1"/>
    <col min="3841" max="3841" width="9.33203125" style="12" customWidth="1"/>
    <col min="3842" max="3842" width="6.33203125" style="12" customWidth="1"/>
    <col min="3843" max="3844" width="8.44140625" style="12" customWidth="1"/>
    <col min="3845" max="3845" width="13.6640625" style="12" customWidth="1"/>
    <col min="3846" max="3847" width="11.109375" style="12" customWidth="1"/>
    <col min="3848" max="3848" width="2.44140625" style="12" customWidth="1"/>
    <col min="3849" max="3849" width="10.109375" style="12" customWidth="1"/>
    <col min="3850" max="3850" width="11.44140625" style="12" customWidth="1"/>
    <col min="3851" max="3851" width="10.109375" style="12" customWidth="1"/>
    <col min="3852" max="3859" width="11.44140625" style="12" customWidth="1"/>
    <col min="3860" max="3988" width="10.109375" style="12" customWidth="1"/>
    <col min="3989" max="4076" width="9.109375" style="12"/>
    <col min="4077" max="4077" width="5.109375" style="12" customWidth="1"/>
    <col min="4078" max="4078" width="2.6640625" style="12" customWidth="1"/>
    <col min="4079" max="4079" width="30.6640625" style="12" customWidth="1"/>
    <col min="4080" max="4080" width="1.5546875" style="12" customWidth="1"/>
    <col min="4081" max="4081" width="5" style="12" customWidth="1"/>
    <col min="4082" max="4082" width="0.5546875" style="12" customWidth="1"/>
    <col min="4083" max="4083" width="13.6640625" style="12" customWidth="1"/>
    <col min="4084" max="4084" width="13.33203125" style="12" customWidth="1"/>
    <col min="4085" max="4085" width="11.88671875" style="12" customWidth="1"/>
    <col min="4086" max="4086" width="10.88671875" style="12" customWidth="1"/>
    <col min="4087" max="4087" width="8.44140625" style="12" customWidth="1"/>
    <col min="4088" max="4088" width="9" style="12" customWidth="1"/>
    <col min="4089" max="4089" width="9.88671875" style="12" customWidth="1"/>
    <col min="4090" max="4090" width="9.33203125" style="12" customWidth="1"/>
    <col min="4091" max="4091" width="10" style="12" customWidth="1"/>
    <col min="4092" max="4092" width="9.109375" style="12" customWidth="1"/>
    <col min="4093" max="4093" width="9.33203125" style="12" customWidth="1"/>
    <col min="4094" max="4094" width="7.88671875" style="12" customWidth="1"/>
    <col min="4095" max="4095" width="9.88671875" style="12" customWidth="1"/>
    <col min="4096" max="4096" width="10.109375" style="12" customWidth="1"/>
    <col min="4097" max="4097" width="9.33203125" style="12" customWidth="1"/>
    <col min="4098" max="4098" width="6.33203125" style="12" customWidth="1"/>
    <col min="4099" max="4100" width="8.44140625" style="12" customWidth="1"/>
    <col min="4101" max="4101" width="13.6640625" style="12" customWidth="1"/>
    <col min="4102" max="4103" width="11.109375" style="12" customWidth="1"/>
    <col min="4104" max="4104" width="2.44140625" style="12" customWidth="1"/>
    <col min="4105" max="4105" width="10.109375" style="12" customWidth="1"/>
    <col min="4106" max="4106" width="11.44140625" style="12" customWidth="1"/>
    <col min="4107" max="4107" width="10.109375" style="12" customWidth="1"/>
    <col min="4108" max="4115" width="11.44140625" style="12" customWidth="1"/>
    <col min="4116" max="4244" width="10.109375" style="12" customWidth="1"/>
    <col min="4245" max="4332" width="9.109375" style="12"/>
    <col min="4333" max="4333" width="5.109375" style="12" customWidth="1"/>
    <col min="4334" max="4334" width="2.6640625" style="12" customWidth="1"/>
    <col min="4335" max="4335" width="30.6640625" style="12" customWidth="1"/>
    <col min="4336" max="4336" width="1.5546875" style="12" customWidth="1"/>
    <col min="4337" max="4337" width="5" style="12" customWidth="1"/>
    <col min="4338" max="4338" width="0.5546875" style="12" customWidth="1"/>
    <col min="4339" max="4339" width="13.6640625" style="12" customWidth="1"/>
    <col min="4340" max="4340" width="13.33203125" style="12" customWidth="1"/>
    <col min="4341" max="4341" width="11.88671875" style="12" customWidth="1"/>
    <col min="4342" max="4342" width="10.88671875" style="12" customWidth="1"/>
    <col min="4343" max="4343" width="8.44140625" style="12" customWidth="1"/>
    <col min="4344" max="4344" width="9" style="12" customWidth="1"/>
    <col min="4345" max="4345" width="9.88671875" style="12" customWidth="1"/>
    <col min="4346" max="4346" width="9.33203125" style="12" customWidth="1"/>
    <col min="4347" max="4347" width="10" style="12" customWidth="1"/>
    <col min="4348" max="4348" width="9.109375" style="12" customWidth="1"/>
    <col min="4349" max="4349" width="9.33203125" style="12" customWidth="1"/>
    <col min="4350" max="4350" width="7.88671875" style="12" customWidth="1"/>
    <col min="4351" max="4351" width="9.88671875" style="12" customWidth="1"/>
    <col min="4352" max="4352" width="10.109375" style="12" customWidth="1"/>
    <col min="4353" max="4353" width="9.33203125" style="12" customWidth="1"/>
    <col min="4354" max="4354" width="6.33203125" style="12" customWidth="1"/>
    <col min="4355" max="4356" width="8.44140625" style="12" customWidth="1"/>
    <col min="4357" max="4357" width="13.6640625" style="12" customWidth="1"/>
    <col min="4358" max="4359" width="11.109375" style="12" customWidth="1"/>
    <col min="4360" max="4360" width="2.44140625" style="12" customWidth="1"/>
    <col min="4361" max="4361" width="10.109375" style="12" customWidth="1"/>
    <col min="4362" max="4362" width="11.44140625" style="12" customWidth="1"/>
    <col min="4363" max="4363" width="10.109375" style="12" customWidth="1"/>
    <col min="4364" max="4371" width="11.44140625" style="12" customWidth="1"/>
    <col min="4372" max="4500" width="10.109375" style="12" customWidth="1"/>
    <col min="4501" max="4588" width="9.109375" style="12"/>
    <col min="4589" max="4589" width="5.109375" style="12" customWidth="1"/>
    <col min="4590" max="4590" width="2.6640625" style="12" customWidth="1"/>
    <col min="4591" max="4591" width="30.6640625" style="12" customWidth="1"/>
    <col min="4592" max="4592" width="1.5546875" style="12" customWidth="1"/>
    <col min="4593" max="4593" width="5" style="12" customWidth="1"/>
    <col min="4594" max="4594" width="0.5546875" style="12" customWidth="1"/>
    <col min="4595" max="4595" width="13.6640625" style="12" customWidth="1"/>
    <col min="4596" max="4596" width="13.33203125" style="12" customWidth="1"/>
    <col min="4597" max="4597" width="11.88671875" style="12" customWidth="1"/>
    <col min="4598" max="4598" width="10.88671875" style="12" customWidth="1"/>
    <col min="4599" max="4599" width="8.44140625" style="12" customWidth="1"/>
    <col min="4600" max="4600" width="9" style="12" customWidth="1"/>
    <col min="4601" max="4601" width="9.88671875" style="12" customWidth="1"/>
    <col min="4602" max="4602" width="9.33203125" style="12" customWidth="1"/>
    <col min="4603" max="4603" width="10" style="12" customWidth="1"/>
    <col min="4604" max="4604" width="9.109375" style="12" customWidth="1"/>
    <col min="4605" max="4605" width="9.33203125" style="12" customWidth="1"/>
    <col min="4606" max="4606" width="7.88671875" style="12" customWidth="1"/>
    <col min="4607" max="4607" width="9.88671875" style="12" customWidth="1"/>
    <col min="4608" max="4608" width="10.109375" style="12" customWidth="1"/>
    <col min="4609" max="4609" width="9.33203125" style="12" customWidth="1"/>
    <col min="4610" max="4610" width="6.33203125" style="12" customWidth="1"/>
    <col min="4611" max="4612" width="8.44140625" style="12" customWidth="1"/>
    <col min="4613" max="4613" width="13.6640625" style="12" customWidth="1"/>
    <col min="4614" max="4615" width="11.109375" style="12" customWidth="1"/>
    <col min="4616" max="4616" width="2.44140625" style="12" customWidth="1"/>
    <col min="4617" max="4617" width="10.109375" style="12" customWidth="1"/>
    <col min="4618" max="4618" width="11.44140625" style="12" customWidth="1"/>
    <col min="4619" max="4619" width="10.109375" style="12" customWidth="1"/>
    <col min="4620" max="4627" width="11.44140625" style="12" customWidth="1"/>
    <col min="4628" max="4756" width="10.109375" style="12" customWidth="1"/>
    <col min="4757" max="4844" width="9.109375" style="12"/>
    <col min="4845" max="4845" width="5.109375" style="12" customWidth="1"/>
    <col min="4846" max="4846" width="2.6640625" style="12" customWidth="1"/>
    <col min="4847" max="4847" width="30.6640625" style="12" customWidth="1"/>
    <col min="4848" max="4848" width="1.5546875" style="12" customWidth="1"/>
    <col min="4849" max="4849" width="5" style="12" customWidth="1"/>
    <col min="4850" max="4850" width="0.5546875" style="12" customWidth="1"/>
    <col min="4851" max="4851" width="13.6640625" style="12" customWidth="1"/>
    <col min="4852" max="4852" width="13.33203125" style="12" customWidth="1"/>
    <col min="4853" max="4853" width="11.88671875" style="12" customWidth="1"/>
    <col min="4854" max="4854" width="10.88671875" style="12" customWidth="1"/>
    <col min="4855" max="4855" width="8.44140625" style="12" customWidth="1"/>
    <col min="4856" max="4856" width="9" style="12" customWidth="1"/>
    <col min="4857" max="4857" width="9.88671875" style="12" customWidth="1"/>
    <col min="4858" max="4858" width="9.33203125" style="12" customWidth="1"/>
    <col min="4859" max="4859" width="10" style="12" customWidth="1"/>
    <col min="4860" max="4860" width="9.109375" style="12" customWidth="1"/>
    <col min="4861" max="4861" width="9.33203125" style="12" customWidth="1"/>
    <col min="4862" max="4862" width="7.88671875" style="12" customWidth="1"/>
    <col min="4863" max="4863" width="9.88671875" style="12" customWidth="1"/>
    <col min="4864" max="4864" width="10.109375" style="12" customWidth="1"/>
    <col min="4865" max="4865" width="9.33203125" style="12" customWidth="1"/>
    <col min="4866" max="4866" width="6.33203125" style="12" customWidth="1"/>
    <col min="4867" max="4868" width="8.44140625" style="12" customWidth="1"/>
    <col min="4869" max="4869" width="13.6640625" style="12" customWidth="1"/>
    <col min="4870" max="4871" width="11.109375" style="12" customWidth="1"/>
    <col min="4872" max="4872" width="2.44140625" style="12" customWidth="1"/>
    <col min="4873" max="4873" width="10.109375" style="12" customWidth="1"/>
    <col min="4874" max="4874" width="11.44140625" style="12" customWidth="1"/>
    <col min="4875" max="4875" width="10.109375" style="12" customWidth="1"/>
    <col min="4876" max="4883" width="11.44140625" style="12" customWidth="1"/>
    <col min="4884" max="5012" width="10.109375" style="12" customWidth="1"/>
    <col min="5013" max="5100" width="9.109375" style="12"/>
    <col min="5101" max="5101" width="5.109375" style="12" customWidth="1"/>
    <col min="5102" max="5102" width="2.6640625" style="12" customWidth="1"/>
    <col min="5103" max="5103" width="30.6640625" style="12" customWidth="1"/>
    <col min="5104" max="5104" width="1.5546875" style="12" customWidth="1"/>
    <col min="5105" max="5105" width="5" style="12" customWidth="1"/>
    <col min="5106" max="5106" width="0.5546875" style="12" customWidth="1"/>
    <col min="5107" max="5107" width="13.6640625" style="12" customWidth="1"/>
    <col min="5108" max="5108" width="13.33203125" style="12" customWidth="1"/>
    <col min="5109" max="5109" width="11.88671875" style="12" customWidth="1"/>
    <col min="5110" max="5110" width="10.88671875" style="12" customWidth="1"/>
    <col min="5111" max="5111" width="8.44140625" style="12" customWidth="1"/>
    <col min="5112" max="5112" width="9" style="12" customWidth="1"/>
    <col min="5113" max="5113" width="9.88671875" style="12" customWidth="1"/>
    <col min="5114" max="5114" width="9.33203125" style="12" customWidth="1"/>
    <col min="5115" max="5115" width="10" style="12" customWidth="1"/>
    <col min="5116" max="5116" width="9.109375" style="12" customWidth="1"/>
    <col min="5117" max="5117" width="9.33203125" style="12" customWidth="1"/>
    <col min="5118" max="5118" width="7.88671875" style="12" customWidth="1"/>
    <col min="5119" max="5119" width="9.88671875" style="12" customWidth="1"/>
    <col min="5120" max="5120" width="10.109375" style="12" customWidth="1"/>
    <col min="5121" max="5121" width="9.33203125" style="12" customWidth="1"/>
    <col min="5122" max="5122" width="6.33203125" style="12" customWidth="1"/>
    <col min="5123" max="5124" width="8.44140625" style="12" customWidth="1"/>
    <col min="5125" max="5125" width="13.6640625" style="12" customWidth="1"/>
    <col min="5126" max="5127" width="11.109375" style="12" customWidth="1"/>
    <col min="5128" max="5128" width="2.44140625" style="12" customWidth="1"/>
    <col min="5129" max="5129" width="10.109375" style="12" customWidth="1"/>
    <col min="5130" max="5130" width="11.44140625" style="12" customWidth="1"/>
    <col min="5131" max="5131" width="10.109375" style="12" customWidth="1"/>
    <col min="5132" max="5139" width="11.44140625" style="12" customWidth="1"/>
    <col min="5140" max="5268" width="10.109375" style="12" customWidth="1"/>
    <col min="5269" max="5356" width="9.109375" style="12"/>
    <col min="5357" max="5357" width="5.109375" style="12" customWidth="1"/>
    <col min="5358" max="5358" width="2.6640625" style="12" customWidth="1"/>
    <col min="5359" max="5359" width="30.6640625" style="12" customWidth="1"/>
    <col min="5360" max="5360" width="1.5546875" style="12" customWidth="1"/>
    <col min="5361" max="5361" width="5" style="12" customWidth="1"/>
    <col min="5362" max="5362" width="0.5546875" style="12" customWidth="1"/>
    <col min="5363" max="5363" width="13.6640625" style="12" customWidth="1"/>
    <col min="5364" max="5364" width="13.33203125" style="12" customWidth="1"/>
    <col min="5365" max="5365" width="11.88671875" style="12" customWidth="1"/>
    <col min="5366" max="5366" width="10.88671875" style="12" customWidth="1"/>
    <col min="5367" max="5367" width="8.44140625" style="12" customWidth="1"/>
    <col min="5368" max="5368" width="9" style="12" customWidth="1"/>
    <col min="5369" max="5369" width="9.88671875" style="12" customWidth="1"/>
    <col min="5370" max="5370" width="9.33203125" style="12" customWidth="1"/>
    <col min="5371" max="5371" width="10" style="12" customWidth="1"/>
    <col min="5372" max="5372" width="9.109375" style="12" customWidth="1"/>
    <col min="5373" max="5373" width="9.33203125" style="12" customWidth="1"/>
    <col min="5374" max="5374" width="7.88671875" style="12" customWidth="1"/>
    <col min="5375" max="5375" width="9.88671875" style="12" customWidth="1"/>
    <col min="5376" max="5376" width="10.109375" style="12" customWidth="1"/>
    <col min="5377" max="5377" width="9.33203125" style="12" customWidth="1"/>
    <col min="5378" max="5378" width="6.33203125" style="12" customWidth="1"/>
    <col min="5379" max="5380" width="8.44140625" style="12" customWidth="1"/>
    <col min="5381" max="5381" width="13.6640625" style="12" customWidth="1"/>
    <col min="5382" max="5383" width="11.109375" style="12" customWidth="1"/>
    <col min="5384" max="5384" width="2.44140625" style="12" customWidth="1"/>
    <col min="5385" max="5385" width="10.109375" style="12" customWidth="1"/>
    <col min="5386" max="5386" width="11.44140625" style="12" customWidth="1"/>
    <col min="5387" max="5387" width="10.109375" style="12" customWidth="1"/>
    <col min="5388" max="5395" width="11.44140625" style="12" customWidth="1"/>
    <col min="5396" max="5524" width="10.109375" style="12" customWidth="1"/>
    <col min="5525" max="5612" width="9.109375" style="12"/>
    <col min="5613" max="5613" width="5.109375" style="12" customWidth="1"/>
    <col min="5614" max="5614" width="2.6640625" style="12" customWidth="1"/>
    <col min="5615" max="5615" width="30.6640625" style="12" customWidth="1"/>
    <col min="5616" max="5616" width="1.5546875" style="12" customWidth="1"/>
    <col min="5617" max="5617" width="5" style="12" customWidth="1"/>
    <col min="5618" max="5618" width="0.5546875" style="12" customWidth="1"/>
    <col min="5619" max="5619" width="13.6640625" style="12" customWidth="1"/>
    <col min="5620" max="5620" width="13.33203125" style="12" customWidth="1"/>
    <col min="5621" max="5621" width="11.88671875" style="12" customWidth="1"/>
    <col min="5622" max="5622" width="10.88671875" style="12" customWidth="1"/>
    <col min="5623" max="5623" width="8.44140625" style="12" customWidth="1"/>
    <col min="5624" max="5624" width="9" style="12" customWidth="1"/>
    <col min="5625" max="5625" width="9.88671875" style="12" customWidth="1"/>
    <col min="5626" max="5626" width="9.33203125" style="12" customWidth="1"/>
    <col min="5627" max="5627" width="10" style="12" customWidth="1"/>
    <col min="5628" max="5628" width="9.109375" style="12" customWidth="1"/>
    <col min="5629" max="5629" width="9.33203125" style="12" customWidth="1"/>
    <col min="5630" max="5630" width="7.88671875" style="12" customWidth="1"/>
    <col min="5631" max="5631" width="9.88671875" style="12" customWidth="1"/>
    <col min="5632" max="5632" width="10.109375" style="12" customWidth="1"/>
    <col min="5633" max="5633" width="9.33203125" style="12" customWidth="1"/>
    <col min="5634" max="5634" width="6.33203125" style="12" customWidth="1"/>
    <col min="5635" max="5636" width="8.44140625" style="12" customWidth="1"/>
    <col min="5637" max="5637" width="13.6640625" style="12" customWidth="1"/>
    <col min="5638" max="5639" width="11.109375" style="12" customWidth="1"/>
    <col min="5640" max="5640" width="2.44140625" style="12" customWidth="1"/>
    <col min="5641" max="5641" width="10.109375" style="12" customWidth="1"/>
    <col min="5642" max="5642" width="11.44140625" style="12" customWidth="1"/>
    <col min="5643" max="5643" width="10.109375" style="12" customWidth="1"/>
    <col min="5644" max="5651" width="11.44140625" style="12" customWidth="1"/>
    <col min="5652" max="5780" width="10.109375" style="12" customWidth="1"/>
    <col min="5781" max="5868" width="9.109375" style="12"/>
    <col min="5869" max="5869" width="5.109375" style="12" customWidth="1"/>
    <col min="5870" max="5870" width="2.6640625" style="12" customWidth="1"/>
    <col min="5871" max="5871" width="30.6640625" style="12" customWidth="1"/>
    <col min="5872" max="5872" width="1.5546875" style="12" customWidth="1"/>
    <col min="5873" max="5873" width="5" style="12" customWidth="1"/>
    <col min="5874" max="5874" width="0.5546875" style="12" customWidth="1"/>
    <col min="5875" max="5875" width="13.6640625" style="12" customWidth="1"/>
    <col min="5876" max="5876" width="13.33203125" style="12" customWidth="1"/>
    <col min="5877" max="5877" width="11.88671875" style="12" customWidth="1"/>
    <col min="5878" max="5878" width="10.88671875" style="12" customWidth="1"/>
    <col min="5879" max="5879" width="8.44140625" style="12" customWidth="1"/>
    <col min="5880" max="5880" width="9" style="12" customWidth="1"/>
    <col min="5881" max="5881" width="9.88671875" style="12" customWidth="1"/>
    <col min="5882" max="5882" width="9.33203125" style="12" customWidth="1"/>
    <col min="5883" max="5883" width="10" style="12" customWidth="1"/>
    <col min="5884" max="5884" width="9.109375" style="12" customWidth="1"/>
    <col min="5885" max="5885" width="9.33203125" style="12" customWidth="1"/>
    <col min="5886" max="5886" width="7.88671875" style="12" customWidth="1"/>
    <col min="5887" max="5887" width="9.88671875" style="12" customWidth="1"/>
    <col min="5888" max="5888" width="10.109375" style="12" customWidth="1"/>
    <col min="5889" max="5889" width="9.33203125" style="12" customWidth="1"/>
    <col min="5890" max="5890" width="6.33203125" style="12" customWidth="1"/>
    <col min="5891" max="5892" width="8.44140625" style="12" customWidth="1"/>
    <col min="5893" max="5893" width="13.6640625" style="12" customWidth="1"/>
    <col min="5894" max="5895" width="11.109375" style="12" customWidth="1"/>
    <col min="5896" max="5896" width="2.44140625" style="12" customWidth="1"/>
    <col min="5897" max="5897" width="10.109375" style="12" customWidth="1"/>
    <col min="5898" max="5898" width="11.44140625" style="12" customWidth="1"/>
    <col min="5899" max="5899" width="10.109375" style="12" customWidth="1"/>
    <col min="5900" max="5907" width="11.44140625" style="12" customWidth="1"/>
    <col min="5908" max="6036" width="10.109375" style="12" customWidth="1"/>
    <col min="6037" max="6124" width="9.109375" style="12"/>
    <col min="6125" max="6125" width="5.109375" style="12" customWidth="1"/>
    <col min="6126" max="6126" width="2.6640625" style="12" customWidth="1"/>
    <col min="6127" max="6127" width="30.6640625" style="12" customWidth="1"/>
    <col min="6128" max="6128" width="1.5546875" style="12" customWidth="1"/>
    <col min="6129" max="6129" width="5" style="12" customWidth="1"/>
    <col min="6130" max="6130" width="0.5546875" style="12" customWidth="1"/>
    <col min="6131" max="6131" width="13.6640625" style="12" customWidth="1"/>
    <col min="6132" max="6132" width="13.33203125" style="12" customWidth="1"/>
    <col min="6133" max="6133" width="11.88671875" style="12" customWidth="1"/>
    <col min="6134" max="6134" width="10.88671875" style="12" customWidth="1"/>
    <col min="6135" max="6135" width="8.44140625" style="12" customWidth="1"/>
    <col min="6136" max="6136" width="9" style="12" customWidth="1"/>
    <col min="6137" max="6137" width="9.88671875" style="12" customWidth="1"/>
    <col min="6138" max="6138" width="9.33203125" style="12" customWidth="1"/>
    <col min="6139" max="6139" width="10" style="12" customWidth="1"/>
    <col min="6140" max="6140" width="9.109375" style="12" customWidth="1"/>
    <col min="6141" max="6141" width="9.33203125" style="12" customWidth="1"/>
    <col min="6142" max="6142" width="7.88671875" style="12" customWidth="1"/>
    <col min="6143" max="6143" width="9.88671875" style="12" customWidth="1"/>
    <col min="6144" max="6144" width="10.109375" style="12" customWidth="1"/>
    <col min="6145" max="6145" width="9.33203125" style="12" customWidth="1"/>
    <col min="6146" max="6146" width="6.33203125" style="12" customWidth="1"/>
    <col min="6147" max="6148" width="8.44140625" style="12" customWidth="1"/>
    <col min="6149" max="6149" width="13.6640625" style="12" customWidth="1"/>
    <col min="6150" max="6151" width="11.109375" style="12" customWidth="1"/>
    <col min="6152" max="6152" width="2.44140625" style="12" customWidth="1"/>
    <col min="6153" max="6153" width="10.109375" style="12" customWidth="1"/>
    <col min="6154" max="6154" width="11.44140625" style="12" customWidth="1"/>
    <col min="6155" max="6155" width="10.109375" style="12" customWidth="1"/>
    <col min="6156" max="6163" width="11.44140625" style="12" customWidth="1"/>
    <col min="6164" max="6292" width="10.109375" style="12" customWidth="1"/>
    <col min="6293" max="6380" width="9.109375" style="12"/>
    <col min="6381" max="6381" width="5.109375" style="12" customWidth="1"/>
    <col min="6382" max="6382" width="2.6640625" style="12" customWidth="1"/>
    <col min="6383" max="6383" width="30.6640625" style="12" customWidth="1"/>
    <col min="6384" max="6384" width="1.5546875" style="12" customWidth="1"/>
    <col min="6385" max="6385" width="5" style="12" customWidth="1"/>
    <col min="6386" max="6386" width="0.5546875" style="12" customWidth="1"/>
    <col min="6387" max="6387" width="13.6640625" style="12" customWidth="1"/>
    <col min="6388" max="6388" width="13.33203125" style="12" customWidth="1"/>
    <col min="6389" max="6389" width="11.88671875" style="12" customWidth="1"/>
    <col min="6390" max="6390" width="10.88671875" style="12" customWidth="1"/>
    <col min="6391" max="6391" width="8.44140625" style="12" customWidth="1"/>
    <col min="6392" max="6392" width="9" style="12" customWidth="1"/>
    <col min="6393" max="6393" width="9.88671875" style="12" customWidth="1"/>
    <col min="6394" max="6394" width="9.33203125" style="12" customWidth="1"/>
    <col min="6395" max="6395" width="10" style="12" customWidth="1"/>
    <col min="6396" max="6396" width="9.109375" style="12" customWidth="1"/>
    <col min="6397" max="6397" width="9.33203125" style="12" customWidth="1"/>
    <col min="6398" max="6398" width="7.88671875" style="12" customWidth="1"/>
    <col min="6399" max="6399" width="9.88671875" style="12" customWidth="1"/>
    <col min="6400" max="6400" width="10.109375" style="12" customWidth="1"/>
    <col min="6401" max="6401" width="9.33203125" style="12" customWidth="1"/>
    <col min="6402" max="6402" width="6.33203125" style="12" customWidth="1"/>
    <col min="6403" max="6404" width="8.44140625" style="12" customWidth="1"/>
    <col min="6405" max="6405" width="13.6640625" style="12" customWidth="1"/>
    <col min="6406" max="6407" width="11.109375" style="12" customWidth="1"/>
    <col min="6408" max="6408" width="2.44140625" style="12" customWidth="1"/>
    <col min="6409" max="6409" width="10.109375" style="12" customWidth="1"/>
    <col min="6410" max="6410" width="11.44140625" style="12" customWidth="1"/>
    <col min="6411" max="6411" width="10.109375" style="12" customWidth="1"/>
    <col min="6412" max="6419" width="11.44140625" style="12" customWidth="1"/>
    <col min="6420" max="6548" width="10.109375" style="12" customWidth="1"/>
    <col min="6549" max="6636" width="9.109375" style="12"/>
    <col min="6637" max="6637" width="5.109375" style="12" customWidth="1"/>
    <col min="6638" max="6638" width="2.6640625" style="12" customWidth="1"/>
    <col min="6639" max="6639" width="30.6640625" style="12" customWidth="1"/>
    <col min="6640" max="6640" width="1.5546875" style="12" customWidth="1"/>
    <col min="6641" max="6641" width="5" style="12" customWidth="1"/>
    <col min="6642" max="6642" width="0.5546875" style="12" customWidth="1"/>
    <col min="6643" max="6643" width="13.6640625" style="12" customWidth="1"/>
    <col min="6644" max="6644" width="13.33203125" style="12" customWidth="1"/>
    <col min="6645" max="6645" width="11.88671875" style="12" customWidth="1"/>
    <col min="6646" max="6646" width="10.88671875" style="12" customWidth="1"/>
    <col min="6647" max="6647" width="8.44140625" style="12" customWidth="1"/>
    <col min="6648" max="6648" width="9" style="12" customWidth="1"/>
    <col min="6649" max="6649" width="9.88671875" style="12" customWidth="1"/>
    <col min="6650" max="6650" width="9.33203125" style="12" customWidth="1"/>
    <col min="6651" max="6651" width="10" style="12" customWidth="1"/>
    <col min="6652" max="6652" width="9.109375" style="12" customWidth="1"/>
    <col min="6653" max="6653" width="9.33203125" style="12" customWidth="1"/>
    <col min="6654" max="6654" width="7.88671875" style="12" customWidth="1"/>
    <col min="6655" max="6655" width="9.88671875" style="12" customWidth="1"/>
    <col min="6656" max="6656" width="10.109375" style="12" customWidth="1"/>
    <col min="6657" max="6657" width="9.33203125" style="12" customWidth="1"/>
    <col min="6658" max="6658" width="6.33203125" style="12" customWidth="1"/>
    <col min="6659" max="6660" width="8.44140625" style="12" customWidth="1"/>
    <col min="6661" max="6661" width="13.6640625" style="12" customWidth="1"/>
    <col min="6662" max="6663" width="11.109375" style="12" customWidth="1"/>
    <col min="6664" max="6664" width="2.44140625" style="12" customWidth="1"/>
    <col min="6665" max="6665" width="10.109375" style="12" customWidth="1"/>
    <col min="6666" max="6666" width="11.44140625" style="12" customWidth="1"/>
    <col min="6667" max="6667" width="10.109375" style="12" customWidth="1"/>
    <col min="6668" max="6675" width="11.44140625" style="12" customWidth="1"/>
    <col min="6676" max="6804" width="10.109375" style="12" customWidth="1"/>
    <col min="6805" max="6892" width="9.109375" style="12"/>
    <col min="6893" max="6893" width="5.109375" style="12" customWidth="1"/>
    <col min="6894" max="6894" width="2.6640625" style="12" customWidth="1"/>
    <col min="6895" max="6895" width="30.6640625" style="12" customWidth="1"/>
    <col min="6896" max="6896" width="1.5546875" style="12" customWidth="1"/>
    <col min="6897" max="6897" width="5" style="12" customWidth="1"/>
    <col min="6898" max="6898" width="0.5546875" style="12" customWidth="1"/>
    <col min="6899" max="6899" width="13.6640625" style="12" customWidth="1"/>
    <col min="6900" max="6900" width="13.33203125" style="12" customWidth="1"/>
    <col min="6901" max="6901" width="11.88671875" style="12" customWidth="1"/>
    <col min="6902" max="6902" width="10.88671875" style="12" customWidth="1"/>
    <col min="6903" max="6903" width="8.44140625" style="12" customWidth="1"/>
    <col min="6904" max="6904" width="9" style="12" customWidth="1"/>
    <col min="6905" max="6905" width="9.88671875" style="12" customWidth="1"/>
    <col min="6906" max="6906" width="9.33203125" style="12" customWidth="1"/>
    <col min="6907" max="6907" width="10" style="12" customWidth="1"/>
    <col min="6908" max="6908" width="9.109375" style="12" customWidth="1"/>
    <col min="6909" max="6909" width="9.33203125" style="12" customWidth="1"/>
    <col min="6910" max="6910" width="7.88671875" style="12" customWidth="1"/>
    <col min="6911" max="6911" width="9.88671875" style="12" customWidth="1"/>
    <col min="6912" max="6912" width="10.109375" style="12" customWidth="1"/>
    <col min="6913" max="6913" width="9.33203125" style="12" customWidth="1"/>
    <col min="6914" max="6914" width="6.33203125" style="12" customWidth="1"/>
    <col min="6915" max="6916" width="8.44140625" style="12" customWidth="1"/>
    <col min="6917" max="6917" width="13.6640625" style="12" customWidth="1"/>
    <col min="6918" max="6919" width="11.109375" style="12" customWidth="1"/>
    <col min="6920" max="6920" width="2.44140625" style="12" customWidth="1"/>
    <col min="6921" max="6921" width="10.109375" style="12" customWidth="1"/>
    <col min="6922" max="6922" width="11.44140625" style="12" customWidth="1"/>
    <col min="6923" max="6923" width="10.109375" style="12" customWidth="1"/>
    <col min="6924" max="6931" width="11.44140625" style="12" customWidth="1"/>
    <col min="6932" max="7060" width="10.109375" style="12" customWidth="1"/>
    <col min="7061" max="7148" width="9.109375" style="12"/>
    <col min="7149" max="7149" width="5.109375" style="12" customWidth="1"/>
    <col min="7150" max="7150" width="2.6640625" style="12" customWidth="1"/>
    <col min="7151" max="7151" width="30.6640625" style="12" customWidth="1"/>
    <col min="7152" max="7152" width="1.5546875" style="12" customWidth="1"/>
    <col min="7153" max="7153" width="5" style="12" customWidth="1"/>
    <col min="7154" max="7154" width="0.5546875" style="12" customWidth="1"/>
    <col min="7155" max="7155" width="13.6640625" style="12" customWidth="1"/>
    <col min="7156" max="7156" width="13.33203125" style="12" customWidth="1"/>
    <col min="7157" max="7157" width="11.88671875" style="12" customWidth="1"/>
    <col min="7158" max="7158" width="10.88671875" style="12" customWidth="1"/>
    <col min="7159" max="7159" width="8.44140625" style="12" customWidth="1"/>
    <col min="7160" max="7160" width="9" style="12" customWidth="1"/>
    <col min="7161" max="7161" width="9.88671875" style="12" customWidth="1"/>
    <col min="7162" max="7162" width="9.33203125" style="12" customWidth="1"/>
    <col min="7163" max="7163" width="10" style="12" customWidth="1"/>
    <col min="7164" max="7164" width="9.109375" style="12" customWidth="1"/>
    <col min="7165" max="7165" width="9.33203125" style="12" customWidth="1"/>
    <col min="7166" max="7166" width="7.88671875" style="12" customWidth="1"/>
    <col min="7167" max="7167" width="9.88671875" style="12" customWidth="1"/>
    <col min="7168" max="7168" width="10.109375" style="12" customWidth="1"/>
    <col min="7169" max="7169" width="9.33203125" style="12" customWidth="1"/>
    <col min="7170" max="7170" width="6.33203125" style="12" customWidth="1"/>
    <col min="7171" max="7172" width="8.44140625" style="12" customWidth="1"/>
    <col min="7173" max="7173" width="13.6640625" style="12" customWidth="1"/>
    <col min="7174" max="7175" width="11.109375" style="12" customWidth="1"/>
    <col min="7176" max="7176" width="2.44140625" style="12" customWidth="1"/>
    <col min="7177" max="7177" width="10.109375" style="12" customWidth="1"/>
    <col min="7178" max="7178" width="11.44140625" style="12" customWidth="1"/>
    <col min="7179" max="7179" width="10.109375" style="12" customWidth="1"/>
    <col min="7180" max="7187" width="11.44140625" style="12" customWidth="1"/>
    <col min="7188" max="7316" width="10.109375" style="12" customWidth="1"/>
    <col min="7317" max="7404" width="9.109375" style="12"/>
    <col min="7405" max="7405" width="5.109375" style="12" customWidth="1"/>
    <col min="7406" max="7406" width="2.6640625" style="12" customWidth="1"/>
    <col min="7407" max="7407" width="30.6640625" style="12" customWidth="1"/>
    <col min="7408" max="7408" width="1.5546875" style="12" customWidth="1"/>
    <col min="7409" max="7409" width="5" style="12" customWidth="1"/>
    <col min="7410" max="7410" width="0.5546875" style="12" customWidth="1"/>
    <col min="7411" max="7411" width="13.6640625" style="12" customWidth="1"/>
    <col min="7412" max="7412" width="13.33203125" style="12" customWidth="1"/>
    <col min="7413" max="7413" width="11.88671875" style="12" customWidth="1"/>
    <col min="7414" max="7414" width="10.88671875" style="12" customWidth="1"/>
    <col min="7415" max="7415" width="8.44140625" style="12" customWidth="1"/>
    <col min="7416" max="7416" width="9" style="12" customWidth="1"/>
    <col min="7417" max="7417" width="9.88671875" style="12" customWidth="1"/>
    <col min="7418" max="7418" width="9.33203125" style="12" customWidth="1"/>
    <col min="7419" max="7419" width="10" style="12" customWidth="1"/>
    <col min="7420" max="7420" width="9.109375" style="12" customWidth="1"/>
    <col min="7421" max="7421" width="9.33203125" style="12" customWidth="1"/>
    <col min="7422" max="7422" width="7.88671875" style="12" customWidth="1"/>
    <col min="7423" max="7423" width="9.88671875" style="12" customWidth="1"/>
    <col min="7424" max="7424" width="10.109375" style="12" customWidth="1"/>
    <col min="7425" max="7425" width="9.33203125" style="12" customWidth="1"/>
    <col min="7426" max="7426" width="6.33203125" style="12" customWidth="1"/>
    <col min="7427" max="7428" width="8.44140625" style="12" customWidth="1"/>
    <col min="7429" max="7429" width="13.6640625" style="12" customWidth="1"/>
    <col min="7430" max="7431" width="11.109375" style="12" customWidth="1"/>
    <col min="7432" max="7432" width="2.44140625" style="12" customWidth="1"/>
    <col min="7433" max="7433" width="10.109375" style="12" customWidth="1"/>
    <col min="7434" max="7434" width="11.44140625" style="12" customWidth="1"/>
    <col min="7435" max="7435" width="10.109375" style="12" customWidth="1"/>
    <col min="7436" max="7443" width="11.44140625" style="12" customWidth="1"/>
    <col min="7444" max="7572" width="10.109375" style="12" customWidth="1"/>
    <col min="7573" max="7660" width="9.109375" style="12"/>
    <col min="7661" max="7661" width="5.109375" style="12" customWidth="1"/>
    <col min="7662" max="7662" width="2.6640625" style="12" customWidth="1"/>
    <col min="7663" max="7663" width="30.6640625" style="12" customWidth="1"/>
    <col min="7664" max="7664" width="1.5546875" style="12" customWidth="1"/>
    <col min="7665" max="7665" width="5" style="12" customWidth="1"/>
    <col min="7666" max="7666" width="0.5546875" style="12" customWidth="1"/>
    <col min="7667" max="7667" width="13.6640625" style="12" customWidth="1"/>
    <col min="7668" max="7668" width="13.33203125" style="12" customWidth="1"/>
    <col min="7669" max="7669" width="11.88671875" style="12" customWidth="1"/>
    <col min="7670" max="7670" width="10.88671875" style="12" customWidth="1"/>
    <col min="7671" max="7671" width="8.44140625" style="12" customWidth="1"/>
    <col min="7672" max="7672" width="9" style="12" customWidth="1"/>
    <col min="7673" max="7673" width="9.88671875" style="12" customWidth="1"/>
    <col min="7674" max="7674" width="9.33203125" style="12" customWidth="1"/>
    <col min="7675" max="7675" width="10" style="12" customWidth="1"/>
    <col min="7676" max="7676" width="9.109375" style="12" customWidth="1"/>
    <col min="7677" max="7677" width="9.33203125" style="12" customWidth="1"/>
    <col min="7678" max="7678" width="7.88671875" style="12" customWidth="1"/>
    <col min="7679" max="7679" width="9.88671875" style="12" customWidth="1"/>
    <col min="7680" max="7680" width="10.109375" style="12" customWidth="1"/>
    <col min="7681" max="7681" width="9.33203125" style="12" customWidth="1"/>
    <col min="7682" max="7682" width="6.33203125" style="12" customWidth="1"/>
    <col min="7683" max="7684" width="8.44140625" style="12" customWidth="1"/>
    <col min="7685" max="7685" width="13.6640625" style="12" customWidth="1"/>
    <col min="7686" max="7687" width="11.109375" style="12" customWidth="1"/>
    <col min="7688" max="7688" width="2.44140625" style="12" customWidth="1"/>
    <col min="7689" max="7689" width="10.109375" style="12" customWidth="1"/>
    <col min="7690" max="7690" width="11.44140625" style="12" customWidth="1"/>
    <col min="7691" max="7691" width="10.109375" style="12" customWidth="1"/>
    <col min="7692" max="7699" width="11.44140625" style="12" customWidth="1"/>
    <col min="7700" max="7828" width="10.109375" style="12" customWidth="1"/>
    <col min="7829" max="7916" width="9.109375" style="12"/>
    <col min="7917" max="7917" width="5.109375" style="12" customWidth="1"/>
    <col min="7918" max="7918" width="2.6640625" style="12" customWidth="1"/>
    <col min="7919" max="7919" width="30.6640625" style="12" customWidth="1"/>
    <col min="7920" max="7920" width="1.5546875" style="12" customWidth="1"/>
    <col min="7921" max="7921" width="5" style="12" customWidth="1"/>
    <col min="7922" max="7922" width="0.5546875" style="12" customWidth="1"/>
    <col min="7923" max="7923" width="13.6640625" style="12" customWidth="1"/>
    <col min="7924" max="7924" width="13.33203125" style="12" customWidth="1"/>
    <col min="7925" max="7925" width="11.88671875" style="12" customWidth="1"/>
    <col min="7926" max="7926" width="10.88671875" style="12" customWidth="1"/>
    <col min="7927" max="7927" width="8.44140625" style="12" customWidth="1"/>
    <col min="7928" max="7928" width="9" style="12" customWidth="1"/>
    <col min="7929" max="7929" width="9.88671875" style="12" customWidth="1"/>
    <col min="7930" max="7930" width="9.33203125" style="12" customWidth="1"/>
    <col min="7931" max="7931" width="10" style="12" customWidth="1"/>
    <col min="7932" max="7932" width="9.109375" style="12" customWidth="1"/>
    <col min="7933" max="7933" width="9.33203125" style="12" customWidth="1"/>
    <col min="7934" max="7934" width="7.88671875" style="12" customWidth="1"/>
    <col min="7935" max="7935" width="9.88671875" style="12" customWidth="1"/>
    <col min="7936" max="7936" width="10.109375" style="12" customWidth="1"/>
    <col min="7937" max="7937" width="9.33203125" style="12" customWidth="1"/>
    <col min="7938" max="7938" width="6.33203125" style="12" customWidth="1"/>
    <col min="7939" max="7940" width="8.44140625" style="12" customWidth="1"/>
    <col min="7941" max="7941" width="13.6640625" style="12" customWidth="1"/>
    <col min="7942" max="7943" width="11.109375" style="12" customWidth="1"/>
    <col min="7944" max="7944" width="2.44140625" style="12" customWidth="1"/>
    <col min="7945" max="7945" width="10.109375" style="12" customWidth="1"/>
    <col min="7946" max="7946" width="11.44140625" style="12" customWidth="1"/>
    <col min="7947" max="7947" width="10.109375" style="12" customWidth="1"/>
    <col min="7948" max="7955" width="11.44140625" style="12" customWidth="1"/>
    <col min="7956" max="8084" width="10.109375" style="12" customWidth="1"/>
    <col min="8085" max="8172" width="9.109375" style="12"/>
    <col min="8173" max="8173" width="5.109375" style="12" customWidth="1"/>
    <col min="8174" max="8174" width="2.6640625" style="12" customWidth="1"/>
    <col min="8175" max="8175" width="30.6640625" style="12" customWidth="1"/>
    <col min="8176" max="8176" width="1.5546875" style="12" customWidth="1"/>
    <col min="8177" max="8177" width="5" style="12" customWidth="1"/>
    <col min="8178" max="8178" width="0.5546875" style="12" customWidth="1"/>
    <col min="8179" max="8179" width="13.6640625" style="12" customWidth="1"/>
    <col min="8180" max="8180" width="13.33203125" style="12" customWidth="1"/>
    <col min="8181" max="8181" width="11.88671875" style="12" customWidth="1"/>
    <col min="8182" max="8182" width="10.88671875" style="12" customWidth="1"/>
    <col min="8183" max="8183" width="8.44140625" style="12" customWidth="1"/>
    <col min="8184" max="8184" width="9" style="12" customWidth="1"/>
    <col min="8185" max="8185" width="9.88671875" style="12" customWidth="1"/>
    <col min="8186" max="8186" width="9.33203125" style="12" customWidth="1"/>
    <col min="8187" max="8187" width="10" style="12" customWidth="1"/>
    <col min="8188" max="8188" width="9.109375" style="12" customWidth="1"/>
    <col min="8189" max="8189" width="9.33203125" style="12" customWidth="1"/>
    <col min="8190" max="8190" width="7.88671875" style="12" customWidth="1"/>
    <col min="8191" max="8191" width="9.88671875" style="12" customWidth="1"/>
    <col min="8192" max="8192" width="10.109375" style="12" customWidth="1"/>
    <col min="8193" max="8193" width="9.33203125" style="12" customWidth="1"/>
    <col min="8194" max="8194" width="6.33203125" style="12" customWidth="1"/>
    <col min="8195" max="8196" width="8.44140625" style="12" customWidth="1"/>
    <col min="8197" max="8197" width="13.6640625" style="12" customWidth="1"/>
    <col min="8198" max="8199" width="11.109375" style="12" customWidth="1"/>
    <col min="8200" max="8200" width="2.44140625" style="12" customWidth="1"/>
    <col min="8201" max="8201" width="10.109375" style="12" customWidth="1"/>
    <col min="8202" max="8202" width="11.44140625" style="12" customWidth="1"/>
    <col min="8203" max="8203" width="10.109375" style="12" customWidth="1"/>
    <col min="8204" max="8211" width="11.44140625" style="12" customWidth="1"/>
    <col min="8212" max="8340" width="10.109375" style="12" customWidth="1"/>
    <col min="8341" max="8428" width="9.109375" style="12"/>
    <col min="8429" max="8429" width="5.109375" style="12" customWidth="1"/>
    <col min="8430" max="8430" width="2.6640625" style="12" customWidth="1"/>
    <col min="8431" max="8431" width="30.6640625" style="12" customWidth="1"/>
    <col min="8432" max="8432" width="1.5546875" style="12" customWidth="1"/>
    <col min="8433" max="8433" width="5" style="12" customWidth="1"/>
    <col min="8434" max="8434" width="0.5546875" style="12" customWidth="1"/>
    <col min="8435" max="8435" width="13.6640625" style="12" customWidth="1"/>
    <col min="8436" max="8436" width="13.33203125" style="12" customWidth="1"/>
    <col min="8437" max="8437" width="11.88671875" style="12" customWidth="1"/>
    <col min="8438" max="8438" width="10.88671875" style="12" customWidth="1"/>
    <col min="8439" max="8439" width="8.44140625" style="12" customWidth="1"/>
    <col min="8440" max="8440" width="9" style="12" customWidth="1"/>
    <col min="8441" max="8441" width="9.88671875" style="12" customWidth="1"/>
    <col min="8442" max="8442" width="9.33203125" style="12" customWidth="1"/>
    <col min="8443" max="8443" width="10" style="12" customWidth="1"/>
    <col min="8444" max="8444" width="9.109375" style="12" customWidth="1"/>
    <col min="8445" max="8445" width="9.33203125" style="12" customWidth="1"/>
    <col min="8446" max="8446" width="7.88671875" style="12" customWidth="1"/>
    <col min="8447" max="8447" width="9.88671875" style="12" customWidth="1"/>
    <col min="8448" max="8448" width="10.109375" style="12" customWidth="1"/>
    <col min="8449" max="8449" width="9.33203125" style="12" customWidth="1"/>
    <col min="8450" max="8450" width="6.33203125" style="12" customWidth="1"/>
    <col min="8451" max="8452" width="8.44140625" style="12" customWidth="1"/>
    <col min="8453" max="8453" width="13.6640625" style="12" customWidth="1"/>
    <col min="8454" max="8455" width="11.109375" style="12" customWidth="1"/>
    <col min="8456" max="8456" width="2.44140625" style="12" customWidth="1"/>
    <col min="8457" max="8457" width="10.109375" style="12" customWidth="1"/>
    <col min="8458" max="8458" width="11.44140625" style="12" customWidth="1"/>
    <col min="8459" max="8459" width="10.109375" style="12" customWidth="1"/>
    <col min="8460" max="8467" width="11.44140625" style="12" customWidth="1"/>
    <col min="8468" max="8596" width="10.109375" style="12" customWidth="1"/>
    <col min="8597" max="8684" width="9.109375" style="12"/>
    <col min="8685" max="8685" width="5.109375" style="12" customWidth="1"/>
    <col min="8686" max="8686" width="2.6640625" style="12" customWidth="1"/>
    <col min="8687" max="8687" width="30.6640625" style="12" customWidth="1"/>
    <col min="8688" max="8688" width="1.5546875" style="12" customWidth="1"/>
    <col min="8689" max="8689" width="5" style="12" customWidth="1"/>
    <col min="8690" max="8690" width="0.5546875" style="12" customWidth="1"/>
    <col min="8691" max="8691" width="13.6640625" style="12" customWidth="1"/>
    <col min="8692" max="8692" width="13.33203125" style="12" customWidth="1"/>
    <col min="8693" max="8693" width="11.88671875" style="12" customWidth="1"/>
    <col min="8694" max="8694" width="10.88671875" style="12" customWidth="1"/>
    <col min="8695" max="8695" width="8.44140625" style="12" customWidth="1"/>
    <col min="8696" max="8696" width="9" style="12" customWidth="1"/>
    <col min="8697" max="8697" width="9.88671875" style="12" customWidth="1"/>
    <col min="8698" max="8698" width="9.33203125" style="12" customWidth="1"/>
    <col min="8699" max="8699" width="10" style="12" customWidth="1"/>
    <col min="8700" max="8700" width="9.109375" style="12" customWidth="1"/>
    <col min="8701" max="8701" width="9.33203125" style="12" customWidth="1"/>
    <col min="8702" max="8702" width="7.88671875" style="12" customWidth="1"/>
    <col min="8703" max="8703" width="9.88671875" style="12" customWidth="1"/>
    <col min="8704" max="8704" width="10.109375" style="12" customWidth="1"/>
    <col min="8705" max="8705" width="9.33203125" style="12" customWidth="1"/>
    <col min="8706" max="8706" width="6.33203125" style="12" customWidth="1"/>
    <col min="8707" max="8708" width="8.44140625" style="12" customWidth="1"/>
    <col min="8709" max="8709" width="13.6640625" style="12" customWidth="1"/>
    <col min="8710" max="8711" width="11.109375" style="12" customWidth="1"/>
    <col min="8712" max="8712" width="2.44140625" style="12" customWidth="1"/>
    <col min="8713" max="8713" width="10.109375" style="12" customWidth="1"/>
    <col min="8714" max="8714" width="11.44140625" style="12" customWidth="1"/>
    <col min="8715" max="8715" width="10.109375" style="12" customWidth="1"/>
    <col min="8716" max="8723" width="11.44140625" style="12" customWidth="1"/>
    <col min="8724" max="8852" width="10.109375" style="12" customWidth="1"/>
    <col min="8853" max="8940" width="9.109375" style="12"/>
    <col min="8941" max="8941" width="5.109375" style="12" customWidth="1"/>
    <col min="8942" max="8942" width="2.6640625" style="12" customWidth="1"/>
    <col min="8943" max="8943" width="30.6640625" style="12" customWidth="1"/>
    <col min="8944" max="8944" width="1.5546875" style="12" customWidth="1"/>
    <col min="8945" max="8945" width="5" style="12" customWidth="1"/>
    <col min="8946" max="8946" width="0.5546875" style="12" customWidth="1"/>
    <col min="8947" max="8947" width="13.6640625" style="12" customWidth="1"/>
    <col min="8948" max="8948" width="13.33203125" style="12" customWidth="1"/>
    <col min="8949" max="8949" width="11.88671875" style="12" customWidth="1"/>
    <col min="8950" max="8950" width="10.88671875" style="12" customWidth="1"/>
    <col min="8951" max="8951" width="8.44140625" style="12" customWidth="1"/>
    <col min="8952" max="8952" width="9" style="12" customWidth="1"/>
    <col min="8953" max="8953" width="9.88671875" style="12" customWidth="1"/>
    <col min="8954" max="8954" width="9.33203125" style="12" customWidth="1"/>
    <col min="8955" max="8955" width="10" style="12" customWidth="1"/>
    <col min="8956" max="8956" width="9.109375" style="12" customWidth="1"/>
    <col min="8957" max="8957" width="9.33203125" style="12" customWidth="1"/>
    <col min="8958" max="8958" width="7.88671875" style="12" customWidth="1"/>
    <col min="8959" max="8959" width="9.88671875" style="12" customWidth="1"/>
    <col min="8960" max="8960" width="10.109375" style="12" customWidth="1"/>
    <col min="8961" max="8961" width="9.33203125" style="12" customWidth="1"/>
    <col min="8962" max="8962" width="6.33203125" style="12" customWidth="1"/>
    <col min="8963" max="8964" width="8.44140625" style="12" customWidth="1"/>
    <col min="8965" max="8965" width="13.6640625" style="12" customWidth="1"/>
    <col min="8966" max="8967" width="11.109375" style="12" customWidth="1"/>
    <col min="8968" max="8968" width="2.44140625" style="12" customWidth="1"/>
    <col min="8969" max="8969" width="10.109375" style="12" customWidth="1"/>
    <col min="8970" max="8970" width="11.44140625" style="12" customWidth="1"/>
    <col min="8971" max="8971" width="10.109375" style="12" customWidth="1"/>
    <col min="8972" max="8979" width="11.44140625" style="12" customWidth="1"/>
    <col min="8980" max="9108" width="10.109375" style="12" customWidth="1"/>
    <col min="9109" max="9196" width="9.109375" style="12"/>
    <col min="9197" max="9197" width="5.109375" style="12" customWidth="1"/>
    <col min="9198" max="9198" width="2.6640625" style="12" customWidth="1"/>
    <col min="9199" max="9199" width="30.6640625" style="12" customWidth="1"/>
    <col min="9200" max="9200" width="1.5546875" style="12" customWidth="1"/>
    <col min="9201" max="9201" width="5" style="12" customWidth="1"/>
    <col min="9202" max="9202" width="0.5546875" style="12" customWidth="1"/>
    <col min="9203" max="9203" width="13.6640625" style="12" customWidth="1"/>
    <col min="9204" max="9204" width="13.33203125" style="12" customWidth="1"/>
    <col min="9205" max="9205" width="11.88671875" style="12" customWidth="1"/>
    <col min="9206" max="9206" width="10.88671875" style="12" customWidth="1"/>
    <col min="9207" max="9207" width="8.44140625" style="12" customWidth="1"/>
    <col min="9208" max="9208" width="9" style="12" customWidth="1"/>
    <col min="9209" max="9209" width="9.88671875" style="12" customWidth="1"/>
    <col min="9210" max="9210" width="9.33203125" style="12" customWidth="1"/>
    <col min="9211" max="9211" width="10" style="12" customWidth="1"/>
    <col min="9212" max="9212" width="9.109375" style="12" customWidth="1"/>
    <col min="9213" max="9213" width="9.33203125" style="12" customWidth="1"/>
    <col min="9214" max="9214" width="7.88671875" style="12" customWidth="1"/>
    <col min="9215" max="9215" width="9.88671875" style="12" customWidth="1"/>
    <col min="9216" max="9216" width="10.109375" style="12" customWidth="1"/>
    <col min="9217" max="9217" width="9.33203125" style="12" customWidth="1"/>
    <col min="9218" max="9218" width="6.33203125" style="12" customWidth="1"/>
    <col min="9219" max="9220" width="8.44140625" style="12" customWidth="1"/>
    <col min="9221" max="9221" width="13.6640625" style="12" customWidth="1"/>
    <col min="9222" max="9223" width="11.109375" style="12" customWidth="1"/>
    <col min="9224" max="9224" width="2.44140625" style="12" customWidth="1"/>
    <col min="9225" max="9225" width="10.109375" style="12" customWidth="1"/>
    <col min="9226" max="9226" width="11.44140625" style="12" customWidth="1"/>
    <col min="9227" max="9227" width="10.109375" style="12" customWidth="1"/>
    <col min="9228" max="9235" width="11.44140625" style="12" customWidth="1"/>
    <col min="9236" max="9364" width="10.109375" style="12" customWidth="1"/>
    <col min="9365" max="9452" width="9.109375" style="12"/>
    <col min="9453" max="9453" width="5.109375" style="12" customWidth="1"/>
    <col min="9454" max="9454" width="2.6640625" style="12" customWidth="1"/>
    <col min="9455" max="9455" width="30.6640625" style="12" customWidth="1"/>
    <col min="9456" max="9456" width="1.5546875" style="12" customWidth="1"/>
    <col min="9457" max="9457" width="5" style="12" customWidth="1"/>
    <col min="9458" max="9458" width="0.5546875" style="12" customWidth="1"/>
    <col min="9459" max="9459" width="13.6640625" style="12" customWidth="1"/>
    <col min="9460" max="9460" width="13.33203125" style="12" customWidth="1"/>
    <col min="9461" max="9461" width="11.88671875" style="12" customWidth="1"/>
    <col min="9462" max="9462" width="10.88671875" style="12" customWidth="1"/>
    <col min="9463" max="9463" width="8.44140625" style="12" customWidth="1"/>
    <col min="9464" max="9464" width="9" style="12" customWidth="1"/>
    <col min="9465" max="9465" width="9.88671875" style="12" customWidth="1"/>
    <col min="9466" max="9466" width="9.33203125" style="12" customWidth="1"/>
    <col min="9467" max="9467" width="10" style="12" customWidth="1"/>
    <col min="9468" max="9468" width="9.109375" style="12" customWidth="1"/>
    <col min="9469" max="9469" width="9.33203125" style="12" customWidth="1"/>
    <col min="9470" max="9470" width="7.88671875" style="12" customWidth="1"/>
    <col min="9471" max="9471" width="9.88671875" style="12" customWidth="1"/>
    <col min="9472" max="9472" width="10.109375" style="12" customWidth="1"/>
    <col min="9473" max="9473" width="9.33203125" style="12" customWidth="1"/>
    <col min="9474" max="9474" width="6.33203125" style="12" customWidth="1"/>
    <col min="9475" max="9476" width="8.44140625" style="12" customWidth="1"/>
    <col min="9477" max="9477" width="13.6640625" style="12" customWidth="1"/>
    <col min="9478" max="9479" width="11.109375" style="12" customWidth="1"/>
    <col min="9480" max="9480" width="2.44140625" style="12" customWidth="1"/>
    <col min="9481" max="9481" width="10.109375" style="12" customWidth="1"/>
    <col min="9482" max="9482" width="11.44140625" style="12" customWidth="1"/>
    <col min="9483" max="9483" width="10.109375" style="12" customWidth="1"/>
    <col min="9484" max="9491" width="11.44140625" style="12" customWidth="1"/>
    <col min="9492" max="9620" width="10.109375" style="12" customWidth="1"/>
    <col min="9621" max="9708" width="9.109375" style="12"/>
    <col min="9709" max="9709" width="5.109375" style="12" customWidth="1"/>
    <col min="9710" max="9710" width="2.6640625" style="12" customWidth="1"/>
    <col min="9711" max="9711" width="30.6640625" style="12" customWidth="1"/>
    <col min="9712" max="9712" width="1.5546875" style="12" customWidth="1"/>
    <col min="9713" max="9713" width="5" style="12" customWidth="1"/>
    <col min="9714" max="9714" width="0.5546875" style="12" customWidth="1"/>
    <col min="9715" max="9715" width="13.6640625" style="12" customWidth="1"/>
    <col min="9716" max="9716" width="13.33203125" style="12" customWidth="1"/>
    <col min="9717" max="9717" width="11.88671875" style="12" customWidth="1"/>
    <col min="9718" max="9718" width="10.88671875" style="12" customWidth="1"/>
    <col min="9719" max="9719" width="8.44140625" style="12" customWidth="1"/>
    <col min="9720" max="9720" width="9" style="12" customWidth="1"/>
    <col min="9721" max="9721" width="9.88671875" style="12" customWidth="1"/>
    <col min="9722" max="9722" width="9.33203125" style="12" customWidth="1"/>
    <col min="9723" max="9723" width="10" style="12" customWidth="1"/>
    <col min="9724" max="9724" width="9.109375" style="12" customWidth="1"/>
    <col min="9725" max="9725" width="9.33203125" style="12" customWidth="1"/>
    <col min="9726" max="9726" width="7.88671875" style="12" customWidth="1"/>
    <col min="9727" max="9727" width="9.88671875" style="12" customWidth="1"/>
    <col min="9728" max="9728" width="10.109375" style="12" customWidth="1"/>
    <col min="9729" max="9729" width="9.33203125" style="12" customWidth="1"/>
    <col min="9730" max="9730" width="6.33203125" style="12" customWidth="1"/>
    <col min="9731" max="9732" width="8.44140625" style="12" customWidth="1"/>
    <col min="9733" max="9733" width="13.6640625" style="12" customWidth="1"/>
    <col min="9734" max="9735" width="11.109375" style="12" customWidth="1"/>
    <col min="9736" max="9736" width="2.44140625" style="12" customWidth="1"/>
    <col min="9737" max="9737" width="10.109375" style="12" customWidth="1"/>
    <col min="9738" max="9738" width="11.44140625" style="12" customWidth="1"/>
    <col min="9739" max="9739" width="10.109375" style="12" customWidth="1"/>
    <col min="9740" max="9747" width="11.44140625" style="12" customWidth="1"/>
    <col min="9748" max="9876" width="10.109375" style="12" customWidth="1"/>
    <col min="9877" max="9964" width="9.109375" style="12"/>
    <col min="9965" max="9965" width="5.109375" style="12" customWidth="1"/>
    <col min="9966" max="9966" width="2.6640625" style="12" customWidth="1"/>
    <col min="9967" max="9967" width="30.6640625" style="12" customWidth="1"/>
    <col min="9968" max="9968" width="1.5546875" style="12" customWidth="1"/>
    <col min="9969" max="9969" width="5" style="12" customWidth="1"/>
    <col min="9970" max="9970" width="0.5546875" style="12" customWidth="1"/>
    <col min="9971" max="9971" width="13.6640625" style="12" customWidth="1"/>
    <col min="9972" max="9972" width="13.33203125" style="12" customWidth="1"/>
    <col min="9973" max="9973" width="11.88671875" style="12" customWidth="1"/>
    <col min="9974" max="9974" width="10.88671875" style="12" customWidth="1"/>
    <col min="9975" max="9975" width="8.44140625" style="12" customWidth="1"/>
    <col min="9976" max="9976" width="9" style="12" customWidth="1"/>
    <col min="9977" max="9977" width="9.88671875" style="12" customWidth="1"/>
    <col min="9978" max="9978" width="9.33203125" style="12" customWidth="1"/>
    <col min="9979" max="9979" width="10" style="12" customWidth="1"/>
    <col min="9980" max="9980" width="9.109375" style="12" customWidth="1"/>
    <col min="9981" max="9981" width="9.33203125" style="12" customWidth="1"/>
    <col min="9982" max="9982" width="7.88671875" style="12" customWidth="1"/>
    <col min="9983" max="9983" width="9.88671875" style="12" customWidth="1"/>
    <col min="9984" max="9984" width="10.109375" style="12" customWidth="1"/>
    <col min="9985" max="9985" width="9.33203125" style="12" customWidth="1"/>
    <col min="9986" max="9986" width="6.33203125" style="12" customWidth="1"/>
    <col min="9987" max="9988" width="8.44140625" style="12" customWidth="1"/>
    <col min="9989" max="9989" width="13.6640625" style="12" customWidth="1"/>
    <col min="9990" max="9991" width="11.109375" style="12" customWidth="1"/>
    <col min="9992" max="9992" width="2.44140625" style="12" customWidth="1"/>
    <col min="9993" max="9993" width="10.109375" style="12" customWidth="1"/>
    <col min="9994" max="9994" width="11.44140625" style="12" customWidth="1"/>
    <col min="9995" max="9995" width="10.109375" style="12" customWidth="1"/>
    <col min="9996" max="10003" width="11.44140625" style="12" customWidth="1"/>
    <col min="10004" max="10132" width="10.109375" style="12" customWidth="1"/>
    <col min="10133" max="10220" width="9.109375" style="12"/>
    <col min="10221" max="10221" width="5.109375" style="12" customWidth="1"/>
    <col min="10222" max="10222" width="2.6640625" style="12" customWidth="1"/>
    <col min="10223" max="10223" width="30.6640625" style="12" customWidth="1"/>
    <col min="10224" max="10224" width="1.5546875" style="12" customWidth="1"/>
    <col min="10225" max="10225" width="5" style="12" customWidth="1"/>
    <col min="10226" max="10226" width="0.5546875" style="12" customWidth="1"/>
    <col min="10227" max="10227" width="13.6640625" style="12" customWidth="1"/>
    <col min="10228" max="10228" width="13.33203125" style="12" customWidth="1"/>
    <col min="10229" max="10229" width="11.88671875" style="12" customWidth="1"/>
    <col min="10230" max="10230" width="10.88671875" style="12" customWidth="1"/>
    <col min="10231" max="10231" width="8.44140625" style="12" customWidth="1"/>
    <col min="10232" max="10232" width="9" style="12" customWidth="1"/>
    <col min="10233" max="10233" width="9.88671875" style="12" customWidth="1"/>
    <col min="10234" max="10234" width="9.33203125" style="12" customWidth="1"/>
    <col min="10235" max="10235" width="10" style="12" customWidth="1"/>
    <col min="10236" max="10236" width="9.109375" style="12" customWidth="1"/>
    <col min="10237" max="10237" width="9.33203125" style="12" customWidth="1"/>
    <col min="10238" max="10238" width="7.88671875" style="12" customWidth="1"/>
    <col min="10239" max="10239" width="9.88671875" style="12" customWidth="1"/>
    <col min="10240" max="10240" width="10.109375" style="12" customWidth="1"/>
    <col min="10241" max="10241" width="9.33203125" style="12" customWidth="1"/>
    <col min="10242" max="10242" width="6.33203125" style="12" customWidth="1"/>
    <col min="10243" max="10244" width="8.44140625" style="12" customWidth="1"/>
    <col min="10245" max="10245" width="13.6640625" style="12" customWidth="1"/>
    <col min="10246" max="10247" width="11.109375" style="12" customWidth="1"/>
    <col min="10248" max="10248" width="2.44140625" style="12" customWidth="1"/>
    <col min="10249" max="10249" width="10.109375" style="12" customWidth="1"/>
    <col min="10250" max="10250" width="11.44140625" style="12" customWidth="1"/>
    <col min="10251" max="10251" width="10.109375" style="12" customWidth="1"/>
    <col min="10252" max="10259" width="11.44140625" style="12" customWidth="1"/>
    <col min="10260" max="10388" width="10.109375" style="12" customWidth="1"/>
    <col min="10389" max="10476" width="9.109375" style="12"/>
    <col min="10477" max="10477" width="5.109375" style="12" customWidth="1"/>
    <col min="10478" max="10478" width="2.6640625" style="12" customWidth="1"/>
    <col min="10479" max="10479" width="30.6640625" style="12" customWidth="1"/>
    <col min="10480" max="10480" width="1.5546875" style="12" customWidth="1"/>
    <col min="10481" max="10481" width="5" style="12" customWidth="1"/>
    <col min="10482" max="10482" width="0.5546875" style="12" customWidth="1"/>
    <col min="10483" max="10483" width="13.6640625" style="12" customWidth="1"/>
    <col min="10484" max="10484" width="13.33203125" style="12" customWidth="1"/>
    <col min="10485" max="10485" width="11.88671875" style="12" customWidth="1"/>
    <col min="10486" max="10486" width="10.88671875" style="12" customWidth="1"/>
    <col min="10487" max="10487" width="8.44140625" style="12" customWidth="1"/>
    <col min="10488" max="10488" width="9" style="12" customWidth="1"/>
    <col min="10489" max="10489" width="9.88671875" style="12" customWidth="1"/>
    <col min="10490" max="10490" width="9.33203125" style="12" customWidth="1"/>
    <col min="10491" max="10491" width="10" style="12" customWidth="1"/>
    <col min="10492" max="10492" width="9.109375" style="12" customWidth="1"/>
    <col min="10493" max="10493" width="9.33203125" style="12" customWidth="1"/>
    <col min="10494" max="10494" width="7.88671875" style="12" customWidth="1"/>
    <col min="10495" max="10495" width="9.88671875" style="12" customWidth="1"/>
    <col min="10496" max="10496" width="10.109375" style="12" customWidth="1"/>
    <col min="10497" max="10497" width="9.33203125" style="12" customWidth="1"/>
    <col min="10498" max="10498" width="6.33203125" style="12" customWidth="1"/>
    <col min="10499" max="10500" width="8.44140625" style="12" customWidth="1"/>
    <col min="10501" max="10501" width="13.6640625" style="12" customWidth="1"/>
    <col min="10502" max="10503" width="11.109375" style="12" customWidth="1"/>
    <col min="10504" max="10504" width="2.44140625" style="12" customWidth="1"/>
    <col min="10505" max="10505" width="10.109375" style="12" customWidth="1"/>
    <col min="10506" max="10506" width="11.44140625" style="12" customWidth="1"/>
    <col min="10507" max="10507" width="10.109375" style="12" customWidth="1"/>
    <col min="10508" max="10515" width="11.44140625" style="12" customWidth="1"/>
    <col min="10516" max="10644" width="10.109375" style="12" customWidth="1"/>
    <col min="10645" max="10732" width="9.109375" style="12"/>
    <col min="10733" max="10733" width="5.109375" style="12" customWidth="1"/>
    <col min="10734" max="10734" width="2.6640625" style="12" customWidth="1"/>
    <col min="10735" max="10735" width="30.6640625" style="12" customWidth="1"/>
    <col min="10736" max="10736" width="1.5546875" style="12" customWidth="1"/>
    <col min="10737" max="10737" width="5" style="12" customWidth="1"/>
    <col min="10738" max="10738" width="0.5546875" style="12" customWidth="1"/>
    <col min="10739" max="10739" width="13.6640625" style="12" customWidth="1"/>
    <col min="10740" max="10740" width="13.33203125" style="12" customWidth="1"/>
    <col min="10741" max="10741" width="11.88671875" style="12" customWidth="1"/>
    <col min="10742" max="10742" width="10.88671875" style="12" customWidth="1"/>
    <col min="10743" max="10743" width="8.44140625" style="12" customWidth="1"/>
    <col min="10744" max="10744" width="9" style="12" customWidth="1"/>
    <col min="10745" max="10745" width="9.88671875" style="12" customWidth="1"/>
    <col min="10746" max="10746" width="9.33203125" style="12" customWidth="1"/>
    <col min="10747" max="10747" width="10" style="12" customWidth="1"/>
    <col min="10748" max="10748" width="9.109375" style="12" customWidth="1"/>
    <col min="10749" max="10749" width="9.33203125" style="12" customWidth="1"/>
    <col min="10750" max="10750" width="7.88671875" style="12" customWidth="1"/>
    <col min="10751" max="10751" width="9.88671875" style="12" customWidth="1"/>
    <col min="10752" max="10752" width="10.109375" style="12" customWidth="1"/>
    <col min="10753" max="10753" width="9.33203125" style="12" customWidth="1"/>
    <col min="10754" max="10754" width="6.33203125" style="12" customWidth="1"/>
    <col min="10755" max="10756" width="8.44140625" style="12" customWidth="1"/>
    <col min="10757" max="10757" width="13.6640625" style="12" customWidth="1"/>
    <col min="10758" max="10759" width="11.109375" style="12" customWidth="1"/>
    <col min="10760" max="10760" width="2.44140625" style="12" customWidth="1"/>
    <col min="10761" max="10761" width="10.109375" style="12" customWidth="1"/>
    <col min="10762" max="10762" width="11.44140625" style="12" customWidth="1"/>
    <col min="10763" max="10763" width="10.109375" style="12" customWidth="1"/>
    <col min="10764" max="10771" width="11.44140625" style="12" customWidth="1"/>
    <col min="10772" max="10900" width="10.109375" style="12" customWidth="1"/>
    <col min="10901" max="10988" width="9.109375" style="12"/>
    <col min="10989" max="10989" width="5.109375" style="12" customWidth="1"/>
    <col min="10990" max="10990" width="2.6640625" style="12" customWidth="1"/>
    <col min="10991" max="10991" width="30.6640625" style="12" customWidth="1"/>
    <col min="10992" max="10992" width="1.5546875" style="12" customWidth="1"/>
    <col min="10993" max="10993" width="5" style="12" customWidth="1"/>
    <col min="10994" max="10994" width="0.5546875" style="12" customWidth="1"/>
    <col min="10995" max="10995" width="13.6640625" style="12" customWidth="1"/>
    <col min="10996" max="10996" width="13.33203125" style="12" customWidth="1"/>
    <col min="10997" max="10997" width="11.88671875" style="12" customWidth="1"/>
    <col min="10998" max="10998" width="10.88671875" style="12" customWidth="1"/>
    <col min="10999" max="10999" width="8.44140625" style="12" customWidth="1"/>
    <col min="11000" max="11000" width="9" style="12" customWidth="1"/>
    <col min="11001" max="11001" width="9.88671875" style="12" customWidth="1"/>
    <col min="11002" max="11002" width="9.33203125" style="12" customWidth="1"/>
    <col min="11003" max="11003" width="10" style="12" customWidth="1"/>
    <col min="11004" max="11004" width="9.109375" style="12" customWidth="1"/>
    <col min="11005" max="11005" width="9.33203125" style="12" customWidth="1"/>
    <col min="11006" max="11006" width="7.88671875" style="12" customWidth="1"/>
    <col min="11007" max="11007" width="9.88671875" style="12" customWidth="1"/>
    <col min="11008" max="11008" width="10.109375" style="12" customWidth="1"/>
    <col min="11009" max="11009" width="9.33203125" style="12" customWidth="1"/>
    <col min="11010" max="11010" width="6.33203125" style="12" customWidth="1"/>
    <col min="11011" max="11012" width="8.44140625" style="12" customWidth="1"/>
    <col min="11013" max="11013" width="13.6640625" style="12" customWidth="1"/>
    <col min="11014" max="11015" width="11.109375" style="12" customWidth="1"/>
    <col min="11016" max="11016" width="2.44140625" style="12" customWidth="1"/>
    <col min="11017" max="11017" width="10.109375" style="12" customWidth="1"/>
    <col min="11018" max="11018" width="11.44140625" style="12" customWidth="1"/>
    <col min="11019" max="11019" width="10.109375" style="12" customWidth="1"/>
    <col min="11020" max="11027" width="11.44140625" style="12" customWidth="1"/>
    <col min="11028" max="11156" width="10.109375" style="12" customWidth="1"/>
    <col min="11157" max="11244" width="9.109375" style="12"/>
    <col min="11245" max="11245" width="5.109375" style="12" customWidth="1"/>
    <col min="11246" max="11246" width="2.6640625" style="12" customWidth="1"/>
    <col min="11247" max="11247" width="30.6640625" style="12" customWidth="1"/>
    <col min="11248" max="11248" width="1.5546875" style="12" customWidth="1"/>
    <col min="11249" max="11249" width="5" style="12" customWidth="1"/>
    <col min="11250" max="11250" width="0.5546875" style="12" customWidth="1"/>
    <col min="11251" max="11251" width="13.6640625" style="12" customWidth="1"/>
    <col min="11252" max="11252" width="13.33203125" style="12" customWidth="1"/>
    <col min="11253" max="11253" width="11.88671875" style="12" customWidth="1"/>
    <col min="11254" max="11254" width="10.88671875" style="12" customWidth="1"/>
    <col min="11255" max="11255" width="8.44140625" style="12" customWidth="1"/>
    <col min="11256" max="11256" width="9" style="12" customWidth="1"/>
    <col min="11257" max="11257" width="9.88671875" style="12" customWidth="1"/>
    <col min="11258" max="11258" width="9.33203125" style="12" customWidth="1"/>
    <col min="11259" max="11259" width="10" style="12" customWidth="1"/>
    <col min="11260" max="11260" width="9.109375" style="12" customWidth="1"/>
    <col min="11261" max="11261" width="9.33203125" style="12" customWidth="1"/>
    <col min="11262" max="11262" width="7.88671875" style="12" customWidth="1"/>
    <col min="11263" max="11263" width="9.88671875" style="12" customWidth="1"/>
    <col min="11264" max="11264" width="10.109375" style="12" customWidth="1"/>
    <col min="11265" max="11265" width="9.33203125" style="12" customWidth="1"/>
    <col min="11266" max="11266" width="6.33203125" style="12" customWidth="1"/>
    <col min="11267" max="11268" width="8.44140625" style="12" customWidth="1"/>
    <col min="11269" max="11269" width="13.6640625" style="12" customWidth="1"/>
    <col min="11270" max="11271" width="11.109375" style="12" customWidth="1"/>
    <col min="11272" max="11272" width="2.44140625" style="12" customWidth="1"/>
    <col min="11273" max="11273" width="10.109375" style="12" customWidth="1"/>
    <col min="11274" max="11274" width="11.44140625" style="12" customWidth="1"/>
    <col min="11275" max="11275" width="10.109375" style="12" customWidth="1"/>
    <col min="11276" max="11283" width="11.44140625" style="12" customWidth="1"/>
    <col min="11284" max="11412" width="10.109375" style="12" customWidth="1"/>
    <col min="11413" max="11500" width="9.109375" style="12"/>
    <col min="11501" max="11501" width="5.109375" style="12" customWidth="1"/>
    <col min="11502" max="11502" width="2.6640625" style="12" customWidth="1"/>
    <col min="11503" max="11503" width="30.6640625" style="12" customWidth="1"/>
    <col min="11504" max="11504" width="1.5546875" style="12" customWidth="1"/>
    <col min="11505" max="11505" width="5" style="12" customWidth="1"/>
    <col min="11506" max="11506" width="0.5546875" style="12" customWidth="1"/>
    <col min="11507" max="11507" width="13.6640625" style="12" customWidth="1"/>
    <col min="11508" max="11508" width="13.33203125" style="12" customWidth="1"/>
    <col min="11509" max="11509" width="11.88671875" style="12" customWidth="1"/>
    <col min="11510" max="11510" width="10.88671875" style="12" customWidth="1"/>
    <col min="11511" max="11511" width="8.44140625" style="12" customWidth="1"/>
    <col min="11512" max="11512" width="9" style="12" customWidth="1"/>
    <col min="11513" max="11513" width="9.88671875" style="12" customWidth="1"/>
    <col min="11514" max="11514" width="9.33203125" style="12" customWidth="1"/>
    <col min="11515" max="11515" width="10" style="12" customWidth="1"/>
    <col min="11516" max="11516" width="9.109375" style="12" customWidth="1"/>
    <col min="11517" max="11517" width="9.33203125" style="12" customWidth="1"/>
    <col min="11518" max="11518" width="7.88671875" style="12" customWidth="1"/>
    <col min="11519" max="11519" width="9.88671875" style="12" customWidth="1"/>
    <col min="11520" max="11520" width="10.109375" style="12" customWidth="1"/>
    <col min="11521" max="11521" width="9.33203125" style="12" customWidth="1"/>
    <col min="11522" max="11522" width="6.33203125" style="12" customWidth="1"/>
    <col min="11523" max="11524" width="8.44140625" style="12" customWidth="1"/>
    <col min="11525" max="11525" width="13.6640625" style="12" customWidth="1"/>
    <col min="11526" max="11527" width="11.109375" style="12" customWidth="1"/>
    <col min="11528" max="11528" width="2.44140625" style="12" customWidth="1"/>
    <col min="11529" max="11529" width="10.109375" style="12" customWidth="1"/>
    <col min="11530" max="11530" width="11.44140625" style="12" customWidth="1"/>
    <col min="11531" max="11531" width="10.109375" style="12" customWidth="1"/>
    <col min="11532" max="11539" width="11.44140625" style="12" customWidth="1"/>
    <col min="11540" max="11668" width="10.109375" style="12" customWidth="1"/>
    <col min="11669" max="11756" width="9.109375" style="12"/>
    <col min="11757" max="11757" width="5.109375" style="12" customWidth="1"/>
    <col min="11758" max="11758" width="2.6640625" style="12" customWidth="1"/>
    <col min="11759" max="11759" width="30.6640625" style="12" customWidth="1"/>
    <col min="11760" max="11760" width="1.5546875" style="12" customWidth="1"/>
    <col min="11761" max="11761" width="5" style="12" customWidth="1"/>
    <col min="11762" max="11762" width="0.5546875" style="12" customWidth="1"/>
    <col min="11763" max="11763" width="13.6640625" style="12" customWidth="1"/>
    <col min="11764" max="11764" width="13.33203125" style="12" customWidth="1"/>
    <col min="11765" max="11765" width="11.88671875" style="12" customWidth="1"/>
    <col min="11766" max="11766" width="10.88671875" style="12" customWidth="1"/>
    <col min="11767" max="11767" width="8.44140625" style="12" customWidth="1"/>
    <col min="11768" max="11768" width="9" style="12" customWidth="1"/>
    <col min="11769" max="11769" width="9.88671875" style="12" customWidth="1"/>
    <col min="11770" max="11770" width="9.33203125" style="12" customWidth="1"/>
    <col min="11771" max="11771" width="10" style="12" customWidth="1"/>
    <col min="11772" max="11772" width="9.109375" style="12" customWidth="1"/>
    <col min="11773" max="11773" width="9.33203125" style="12" customWidth="1"/>
    <col min="11774" max="11774" width="7.88671875" style="12" customWidth="1"/>
    <col min="11775" max="11775" width="9.88671875" style="12" customWidth="1"/>
    <col min="11776" max="11776" width="10.109375" style="12" customWidth="1"/>
    <col min="11777" max="11777" width="9.33203125" style="12" customWidth="1"/>
    <col min="11778" max="11778" width="6.33203125" style="12" customWidth="1"/>
    <col min="11779" max="11780" width="8.44140625" style="12" customWidth="1"/>
    <col min="11781" max="11781" width="13.6640625" style="12" customWidth="1"/>
    <col min="11782" max="11783" width="11.109375" style="12" customWidth="1"/>
    <col min="11784" max="11784" width="2.44140625" style="12" customWidth="1"/>
    <col min="11785" max="11785" width="10.109375" style="12" customWidth="1"/>
    <col min="11786" max="11786" width="11.44140625" style="12" customWidth="1"/>
    <col min="11787" max="11787" width="10.109375" style="12" customWidth="1"/>
    <col min="11788" max="11795" width="11.44140625" style="12" customWidth="1"/>
    <col min="11796" max="11924" width="10.109375" style="12" customWidth="1"/>
    <col min="11925" max="12012" width="9.109375" style="12"/>
    <col min="12013" max="12013" width="5.109375" style="12" customWidth="1"/>
    <col min="12014" max="12014" width="2.6640625" style="12" customWidth="1"/>
    <col min="12015" max="12015" width="30.6640625" style="12" customWidth="1"/>
    <col min="12016" max="12016" width="1.5546875" style="12" customWidth="1"/>
    <col min="12017" max="12017" width="5" style="12" customWidth="1"/>
    <col min="12018" max="12018" width="0.5546875" style="12" customWidth="1"/>
    <col min="12019" max="12019" width="13.6640625" style="12" customWidth="1"/>
    <col min="12020" max="12020" width="13.33203125" style="12" customWidth="1"/>
    <col min="12021" max="12021" width="11.88671875" style="12" customWidth="1"/>
    <col min="12022" max="12022" width="10.88671875" style="12" customWidth="1"/>
    <col min="12023" max="12023" width="8.44140625" style="12" customWidth="1"/>
    <col min="12024" max="12024" width="9" style="12" customWidth="1"/>
    <col min="12025" max="12025" width="9.88671875" style="12" customWidth="1"/>
    <col min="12026" max="12026" width="9.33203125" style="12" customWidth="1"/>
    <col min="12027" max="12027" width="10" style="12" customWidth="1"/>
    <col min="12028" max="12028" width="9.109375" style="12" customWidth="1"/>
    <col min="12029" max="12029" width="9.33203125" style="12" customWidth="1"/>
    <col min="12030" max="12030" width="7.88671875" style="12" customWidth="1"/>
    <col min="12031" max="12031" width="9.88671875" style="12" customWidth="1"/>
    <col min="12032" max="12032" width="10.109375" style="12" customWidth="1"/>
    <col min="12033" max="12033" width="9.33203125" style="12" customWidth="1"/>
    <col min="12034" max="12034" width="6.33203125" style="12" customWidth="1"/>
    <col min="12035" max="12036" width="8.44140625" style="12" customWidth="1"/>
    <col min="12037" max="12037" width="13.6640625" style="12" customWidth="1"/>
    <col min="12038" max="12039" width="11.109375" style="12" customWidth="1"/>
    <col min="12040" max="12040" width="2.44140625" style="12" customWidth="1"/>
    <col min="12041" max="12041" width="10.109375" style="12" customWidth="1"/>
    <col min="12042" max="12042" width="11.44140625" style="12" customWidth="1"/>
    <col min="12043" max="12043" width="10.109375" style="12" customWidth="1"/>
    <col min="12044" max="12051" width="11.44140625" style="12" customWidth="1"/>
    <col min="12052" max="12180" width="10.109375" style="12" customWidth="1"/>
    <col min="12181" max="12268" width="9.109375" style="12"/>
    <col min="12269" max="12269" width="5.109375" style="12" customWidth="1"/>
    <col min="12270" max="12270" width="2.6640625" style="12" customWidth="1"/>
    <col min="12271" max="12271" width="30.6640625" style="12" customWidth="1"/>
    <col min="12272" max="12272" width="1.5546875" style="12" customWidth="1"/>
    <col min="12273" max="12273" width="5" style="12" customWidth="1"/>
    <col min="12274" max="12274" width="0.5546875" style="12" customWidth="1"/>
    <col min="12275" max="12275" width="13.6640625" style="12" customWidth="1"/>
    <col min="12276" max="12276" width="13.33203125" style="12" customWidth="1"/>
    <col min="12277" max="12277" width="11.88671875" style="12" customWidth="1"/>
    <col min="12278" max="12278" width="10.88671875" style="12" customWidth="1"/>
    <col min="12279" max="12279" width="8.44140625" style="12" customWidth="1"/>
    <col min="12280" max="12280" width="9" style="12" customWidth="1"/>
    <col min="12281" max="12281" width="9.88671875" style="12" customWidth="1"/>
    <col min="12282" max="12282" width="9.33203125" style="12" customWidth="1"/>
    <col min="12283" max="12283" width="10" style="12" customWidth="1"/>
    <col min="12284" max="12284" width="9.109375" style="12" customWidth="1"/>
    <col min="12285" max="12285" width="9.33203125" style="12" customWidth="1"/>
    <col min="12286" max="12286" width="7.88671875" style="12" customWidth="1"/>
    <col min="12287" max="12287" width="9.88671875" style="12" customWidth="1"/>
    <col min="12288" max="12288" width="10.109375" style="12" customWidth="1"/>
    <col min="12289" max="12289" width="9.33203125" style="12" customWidth="1"/>
    <col min="12290" max="12290" width="6.33203125" style="12" customWidth="1"/>
    <col min="12291" max="12292" width="8.44140625" style="12" customWidth="1"/>
    <col min="12293" max="12293" width="13.6640625" style="12" customWidth="1"/>
    <col min="12294" max="12295" width="11.109375" style="12" customWidth="1"/>
    <col min="12296" max="12296" width="2.44140625" style="12" customWidth="1"/>
    <col min="12297" max="12297" width="10.109375" style="12" customWidth="1"/>
    <col min="12298" max="12298" width="11.44140625" style="12" customWidth="1"/>
    <col min="12299" max="12299" width="10.109375" style="12" customWidth="1"/>
    <col min="12300" max="12307" width="11.44140625" style="12" customWidth="1"/>
    <col min="12308" max="12436" width="10.109375" style="12" customWidth="1"/>
    <col min="12437" max="12524" width="9.109375" style="12"/>
    <col min="12525" max="12525" width="5.109375" style="12" customWidth="1"/>
    <col min="12526" max="12526" width="2.6640625" style="12" customWidth="1"/>
    <col min="12527" max="12527" width="30.6640625" style="12" customWidth="1"/>
    <col min="12528" max="12528" width="1.5546875" style="12" customWidth="1"/>
    <col min="12529" max="12529" width="5" style="12" customWidth="1"/>
    <col min="12530" max="12530" width="0.5546875" style="12" customWidth="1"/>
    <col min="12531" max="12531" width="13.6640625" style="12" customWidth="1"/>
    <col min="12532" max="12532" width="13.33203125" style="12" customWidth="1"/>
    <col min="12533" max="12533" width="11.88671875" style="12" customWidth="1"/>
    <col min="12534" max="12534" width="10.88671875" style="12" customWidth="1"/>
    <col min="12535" max="12535" width="8.44140625" style="12" customWidth="1"/>
    <col min="12536" max="12536" width="9" style="12" customWidth="1"/>
    <col min="12537" max="12537" width="9.88671875" style="12" customWidth="1"/>
    <col min="12538" max="12538" width="9.33203125" style="12" customWidth="1"/>
    <col min="12539" max="12539" width="10" style="12" customWidth="1"/>
    <col min="12540" max="12540" width="9.109375" style="12" customWidth="1"/>
    <col min="12541" max="12541" width="9.33203125" style="12" customWidth="1"/>
    <col min="12542" max="12542" width="7.88671875" style="12" customWidth="1"/>
    <col min="12543" max="12543" width="9.88671875" style="12" customWidth="1"/>
    <col min="12544" max="12544" width="10.109375" style="12" customWidth="1"/>
    <col min="12545" max="12545" width="9.33203125" style="12" customWidth="1"/>
    <col min="12546" max="12546" width="6.33203125" style="12" customWidth="1"/>
    <col min="12547" max="12548" width="8.44140625" style="12" customWidth="1"/>
    <col min="12549" max="12549" width="13.6640625" style="12" customWidth="1"/>
    <col min="12550" max="12551" width="11.109375" style="12" customWidth="1"/>
    <col min="12552" max="12552" width="2.44140625" style="12" customWidth="1"/>
    <col min="12553" max="12553" width="10.109375" style="12" customWidth="1"/>
    <col min="12554" max="12554" width="11.44140625" style="12" customWidth="1"/>
    <col min="12555" max="12555" width="10.109375" style="12" customWidth="1"/>
    <col min="12556" max="12563" width="11.44140625" style="12" customWidth="1"/>
    <col min="12564" max="12692" width="10.109375" style="12" customWidth="1"/>
    <col min="12693" max="12780" width="9.109375" style="12"/>
    <col min="12781" max="12781" width="5.109375" style="12" customWidth="1"/>
    <col min="12782" max="12782" width="2.6640625" style="12" customWidth="1"/>
    <col min="12783" max="12783" width="30.6640625" style="12" customWidth="1"/>
    <col min="12784" max="12784" width="1.5546875" style="12" customWidth="1"/>
    <col min="12785" max="12785" width="5" style="12" customWidth="1"/>
    <col min="12786" max="12786" width="0.5546875" style="12" customWidth="1"/>
    <col min="12787" max="12787" width="13.6640625" style="12" customWidth="1"/>
    <col min="12788" max="12788" width="13.33203125" style="12" customWidth="1"/>
    <col min="12789" max="12789" width="11.88671875" style="12" customWidth="1"/>
    <col min="12790" max="12790" width="10.88671875" style="12" customWidth="1"/>
    <col min="12791" max="12791" width="8.44140625" style="12" customWidth="1"/>
    <col min="12792" max="12792" width="9" style="12" customWidth="1"/>
    <col min="12793" max="12793" width="9.88671875" style="12" customWidth="1"/>
    <col min="12794" max="12794" width="9.33203125" style="12" customWidth="1"/>
    <col min="12795" max="12795" width="10" style="12" customWidth="1"/>
    <col min="12796" max="12796" width="9.109375" style="12" customWidth="1"/>
    <col min="12797" max="12797" width="9.33203125" style="12" customWidth="1"/>
    <col min="12798" max="12798" width="7.88671875" style="12" customWidth="1"/>
    <col min="12799" max="12799" width="9.88671875" style="12" customWidth="1"/>
    <col min="12800" max="12800" width="10.109375" style="12" customWidth="1"/>
    <col min="12801" max="12801" width="9.33203125" style="12" customWidth="1"/>
    <col min="12802" max="12802" width="6.33203125" style="12" customWidth="1"/>
    <col min="12803" max="12804" width="8.44140625" style="12" customWidth="1"/>
    <col min="12805" max="12805" width="13.6640625" style="12" customWidth="1"/>
    <col min="12806" max="12807" width="11.109375" style="12" customWidth="1"/>
    <col min="12808" max="12808" width="2.44140625" style="12" customWidth="1"/>
    <col min="12809" max="12809" width="10.109375" style="12" customWidth="1"/>
    <col min="12810" max="12810" width="11.44140625" style="12" customWidth="1"/>
    <col min="12811" max="12811" width="10.109375" style="12" customWidth="1"/>
    <col min="12812" max="12819" width="11.44140625" style="12" customWidth="1"/>
    <col min="12820" max="12948" width="10.109375" style="12" customWidth="1"/>
    <col min="12949" max="13036" width="9.109375" style="12"/>
    <col min="13037" max="13037" width="5.109375" style="12" customWidth="1"/>
    <col min="13038" max="13038" width="2.6640625" style="12" customWidth="1"/>
    <col min="13039" max="13039" width="30.6640625" style="12" customWidth="1"/>
    <col min="13040" max="13040" width="1.5546875" style="12" customWidth="1"/>
    <col min="13041" max="13041" width="5" style="12" customWidth="1"/>
    <col min="13042" max="13042" width="0.5546875" style="12" customWidth="1"/>
    <col min="13043" max="13043" width="13.6640625" style="12" customWidth="1"/>
    <col min="13044" max="13044" width="13.33203125" style="12" customWidth="1"/>
    <col min="13045" max="13045" width="11.88671875" style="12" customWidth="1"/>
    <col min="13046" max="13046" width="10.88671875" style="12" customWidth="1"/>
    <col min="13047" max="13047" width="8.44140625" style="12" customWidth="1"/>
    <col min="13048" max="13048" width="9" style="12" customWidth="1"/>
    <col min="13049" max="13049" width="9.88671875" style="12" customWidth="1"/>
    <col min="13050" max="13050" width="9.33203125" style="12" customWidth="1"/>
    <col min="13051" max="13051" width="10" style="12" customWidth="1"/>
    <col min="13052" max="13052" width="9.109375" style="12" customWidth="1"/>
    <col min="13053" max="13053" width="9.33203125" style="12" customWidth="1"/>
    <col min="13054" max="13054" width="7.88671875" style="12" customWidth="1"/>
    <col min="13055" max="13055" width="9.88671875" style="12" customWidth="1"/>
    <col min="13056" max="13056" width="10.109375" style="12" customWidth="1"/>
    <col min="13057" max="13057" width="9.33203125" style="12" customWidth="1"/>
    <col min="13058" max="13058" width="6.33203125" style="12" customWidth="1"/>
    <col min="13059" max="13060" width="8.44140625" style="12" customWidth="1"/>
    <col min="13061" max="13061" width="13.6640625" style="12" customWidth="1"/>
    <col min="13062" max="13063" width="11.109375" style="12" customWidth="1"/>
    <col min="13064" max="13064" width="2.44140625" style="12" customWidth="1"/>
    <col min="13065" max="13065" width="10.109375" style="12" customWidth="1"/>
    <col min="13066" max="13066" width="11.44140625" style="12" customWidth="1"/>
    <col min="13067" max="13067" width="10.109375" style="12" customWidth="1"/>
    <col min="13068" max="13075" width="11.44140625" style="12" customWidth="1"/>
    <col min="13076" max="13204" width="10.109375" style="12" customWidth="1"/>
    <col min="13205" max="13292" width="9.109375" style="12"/>
    <col min="13293" max="13293" width="5.109375" style="12" customWidth="1"/>
    <col min="13294" max="13294" width="2.6640625" style="12" customWidth="1"/>
    <col min="13295" max="13295" width="30.6640625" style="12" customWidth="1"/>
    <col min="13296" max="13296" width="1.5546875" style="12" customWidth="1"/>
    <col min="13297" max="13297" width="5" style="12" customWidth="1"/>
    <col min="13298" max="13298" width="0.5546875" style="12" customWidth="1"/>
    <col min="13299" max="13299" width="13.6640625" style="12" customWidth="1"/>
    <col min="13300" max="13300" width="13.33203125" style="12" customWidth="1"/>
    <col min="13301" max="13301" width="11.88671875" style="12" customWidth="1"/>
    <col min="13302" max="13302" width="10.88671875" style="12" customWidth="1"/>
    <col min="13303" max="13303" width="8.44140625" style="12" customWidth="1"/>
    <col min="13304" max="13304" width="9" style="12" customWidth="1"/>
    <col min="13305" max="13305" width="9.88671875" style="12" customWidth="1"/>
    <col min="13306" max="13306" width="9.33203125" style="12" customWidth="1"/>
    <col min="13307" max="13307" width="10" style="12" customWidth="1"/>
    <col min="13308" max="13308" width="9.109375" style="12" customWidth="1"/>
    <col min="13309" max="13309" width="9.33203125" style="12" customWidth="1"/>
    <col min="13310" max="13310" width="7.88671875" style="12" customWidth="1"/>
    <col min="13311" max="13311" width="9.88671875" style="12" customWidth="1"/>
    <col min="13312" max="13312" width="10.109375" style="12" customWidth="1"/>
    <col min="13313" max="13313" width="9.33203125" style="12" customWidth="1"/>
    <col min="13314" max="13314" width="6.33203125" style="12" customWidth="1"/>
    <col min="13315" max="13316" width="8.44140625" style="12" customWidth="1"/>
    <col min="13317" max="13317" width="13.6640625" style="12" customWidth="1"/>
    <col min="13318" max="13319" width="11.109375" style="12" customWidth="1"/>
    <col min="13320" max="13320" width="2.44140625" style="12" customWidth="1"/>
    <col min="13321" max="13321" width="10.109375" style="12" customWidth="1"/>
    <col min="13322" max="13322" width="11.44140625" style="12" customWidth="1"/>
    <col min="13323" max="13323" width="10.109375" style="12" customWidth="1"/>
    <col min="13324" max="13331" width="11.44140625" style="12" customWidth="1"/>
    <col min="13332" max="13460" width="10.109375" style="12" customWidth="1"/>
    <col min="13461" max="13548" width="9.109375" style="12"/>
    <col min="13549" max="13549" width="5.109375" style="12" customWidth="1"/>
    <col min="13550" max="13550" width="2.6640625" style="12" customWidth="1"/>
    <col min="13551" max="13551" width="30.6640625" style="12" customWidth="1"/>
    <col min="13552" max="13552" width="1.5546875" style="12" customWidth="1"/>
    <col min="13553" max="13553" width="5" style="12" customWidth="1"/>
    <col min="13554" max="13554" width="0.5546875" style="12" customWidth="1"/>
    <col min="13555" max="13555" width="13.6640625" style="12" customWidth="1"/>
    <col min="13556" max="13556" width="13.33203125" style="12" customWidth="1"/>
    <col min="13557" max="13557" width="11.88671875" style="12" customWidth="1"/>
    <col min="13558" max="13558" width="10.88671875" style="12" customWidth="1"/>
    <col min="13559" max="13559" width="8.44140625" style="12" customWidth="1"/>
    <col min="13560" max="13560" width="9" style="12" customWidth="1"/>
    <col min="13561" max="13561" width="9.88671875" style="12" customWidth="1"/>
    <col min="13562" max="13562" width="9.33203125" style="12" customWidth="1"/>
    <col min="13563" max="13563" width="10" style="12" customWidth="1"/>
    <col min="13564" max="13564" width="9.109375" style="12" customWidth="1"/>
    <col min="13565" max="13565" width="9.33203125" style="12" customWidth="1"/>
    <col min="13566" max="13566" width="7.88671875" style="12" customWidth="1"/>
    <col min="13567" max="13567" width="9.88671875" style="12" customWidth="1"/>
    <col min="13568" max="13568" width="10.109375" style="12" customWidth="1"/>
    <col min="13569" max="13569" width="9.33203125" style="12" customWidth="1"/>
    <col min="13570" max="13570" width="6.33203125" style="12" customWidth="1"/>
    <col min="13571" max="13572" width="8.44140625" style="12" customWidth="1"/>
    <col min="13573" max="13573" width="13.6640625" style="12" customWidth="1"/>
    <col min="13574" max="13575" width="11.109375" style="12" customWidth="1"/>
    <col min="13576" max="13576" width="2.44140625" style="12" customWidth="1"/>
    <col min="13577" max="13577" width="10.109375" style="12" customWidth="1"/>
    <col min="13578" max="13578" width="11.44140625" style="12" customWidth="1"/>
    <col min="13579" max="13579" width="10.109375" style="12" customWidth="1"/>
    <col min="13580" max="13587" width="11.44140625" style="12" customWidth="1"/>
    <col min="13588" max="13716" width="10.109375" style="12" customWidth="1"/>
    <col min="13717" max="13804" width="9.109375" style="12"/>
    <col min="13805" max="13805" width="5.109375" style="12" customWidth="1"/>
    <col min="13806" max="13806" width="2.6640625" style="12" customWidth="1"/>
    <col min="13807" max="13807" width="30.6640625" style="12" customWidth="1"/>
    <col min="13808" max="13808" width="1.5546875" style="12" customWidth="1"/>
    <col min="13809" max="13809" width="5" style="12" customWidth="1"/>
    <col min="13810" max="13810" width="0.5546875" style="12" customWidth="1"/>
    <col min="13811" max="13811" width="13.6640625" style="12" customWidth="1"/>
    <col min="13812" max="13812" width="13.33203125" style="12" customWidth="1"/>
    <col min="13813" max="13813" width="11.88671875" style="12" customWidth="1"/>
    <col min="13814" max="13814" width="10.88671875" style="12" customWidth="1"/>
    <col min="13815" max="13815" width="8.44140625" style="12" customWidth="1"/>
    <col min="13816" max="13816" width="9" style="12" customWidth="1"/>
    <col min="13817" max="13817" width="9.88671875" style="12" customWidth="1"/>
    <col min="13818" max="13818" width="9.33203125" style="12" customWidth="1"/>
    <col min="13819" max="13819" width="10" style="12" customWidth="1"/>
    <col min="13820" max="13820" width="9.109375" style="12" customWidth="1"/>
    <col min="13821" max="13821" width="9.33203125" style="12" customWidth="1"/>
    <col min="13822" max="13822" width="7.88671875" style="12" customWidth="1"/>
    <col min="13823" max="13823" width="9.88671875" style="12" customWidth="1"/>
    <col min="13824" max="13824" width="10.109375" style="12" customWidth="1"/>
    <col min="13825" max="13825" width="9.33203125" style="12" customWidth="1"/>
    <col min="13826" max="13826" width="6.33203125" style="12" customWidth="1"/>
    <col min="13827" max="13828" width="8.44140625" style="12" customWidth="1"/>
    <col min="13829" max="13829" width="13.6640625" style="12" customWidth="1"/>
    <col min="13830" max="13831" width="11.109375" style="12" customWidth="1"/>
    <col min="13832" max="13832" width="2.44140625" style="12" customWidth="1"/>
    <col min="13833" max="13833" width="10.109375" style="12" customWidth="1"/>
    <col min="13834" max="13834" width="11.44140625" style="12" customWidth="1"/>
    <col min="13835" max="13835" width="10.109375" style="12" customWidth="1"/>
    <col min="13836" max="13843" width="11.44140625" style="12" customWidth="1"/>
    <col min="13844" max="13972" width="10.109375" style="12" customWidth="1"/>
    <col min="13973" max="14060" width="9.109375" style="12"/>
    <col min="14061" max="14061" width="5.109375" style="12" customWidth="1"/>
    <col min="14062" max="14062" width="2.6640625" style="12" customWidth="1"/>
    <col min="14063" max="14063" width="30.6640625" style="12" customWidth="1"/>
    <col min="14064" max="14064" width="1.5546875" style="12" customWidth="1"/>
    <col min="14065" max="14065" width="5" style="12" customWidth="1"/>
    <col min="14066" max="14066" width="0.5546875" style="12" customWidth="1"/>
    <col min="14067" max="14067" width="13.6640625" style="12" customWidth="1"/>
    <col min="14068" max="14068" width="13.33203125" style="12" customWidth="1"/>
    <col min="14069" max="14069" width="11.88671875" style="12" customWidth="1"/>
    <col min="14070" max="14070" width="10.88671875" style="12" customWidth="1"/>
    <col min="14071" max="14071" width="8.44140625" style="12" customWidth="1"/>
    <col min="14072" max="14072" width="9" style="12" customWidth="1"/>
    <col min="14073" max="14073" width="9.88671875" style="12" customWidth="1"/>
    <col min="14074" max="14074" width="9.33203125" style="12" customWidth="1"/>
    <col min="14075" max="14075" width="10" style="12" customWidth="1"/>
    <col min="14076" max="14076" width="9.109375" style="12" customWidth="1"/>
    <col min="14077" max="14077" width="9.33203125" style="12" customWidth="1"/>
    <col min="14078" max="14078" width="7.88671875" style="12" customWidth="1"/>
    <col min="14079" max="14079" width="9.88671875" style="12" customWidth="1"/>
    <col min="14080" max="14080" width="10.109375" style="12" customWidth="1"/>
    <col min="14081" max="14081" width="9.33203125" style="12" customWidth="1"/>
    <col min="14082" max="14082" width="6.33203125" style="12" customWidth="1"/>
    <col min="14083" max="14084" width="8.44140625" style="12" customWidth="1"/>
    <col min="14085" max="14085" width="13.6640625" style="12" customWidth="1"/>
    <col min="14086" max="14087" width="11.109375" style="12" customWidth="1"/>
    <col min="14088" max="14088" width="2.44140625" style="12" customWidth="1"/>
    <col min="14089" max="14089" width="10.109375" style="12" customWidth="1"/>
    <col min="14090" max="14090" width="11.44140625" style="12" customWidth="1"/>
    <col min="14091" max="14091" width="10.109375" style="12" customWidth="1"/>
    <col min="14092" max="14099" width="11.44140625" style="12" customWidth="1"/>
    <col min="14100" max="14228" width="10.109375" style="12" customWidth="1"/>
    <col min="14229" max="14316" width="9.109375" style="12"/>
    <col min="14317" max="14317" width="5.109375" style="12" customWidth="1"/>
    <col min="14318" max="14318" width="2.6640625" style="12" customWidth="1"/>
    <col min="14319" max="14319" width="30.6640625" style="12" customWidth="1"/>
    <col min="14320" max="14320" width="1.5546875" style="12" customWidth="1"/>
    <col min="14321" max="14321" width="5" style="12" customWidth="1"/>
    <col min="14322" max="14322" width="0.5546875" style="12" customWidth="1"/>
    <col min="14323" max="14323" width="13.6640625" style="12" customWidth="1"/>
    <col min="14324" max="14324" width="13.33203125" style="12" customWidth="1"/>
    <col min="14325" max="14325" width="11.88671875" style="12" customWidth="1"/>
    <col min="14326" max="14326" width="10.88671875" style="12" customWidth="1"/>
    <col min="14327" max="14327" width="8.44140625" style="12" customWidth="1"/>
    <col min="14328" max="14328" width="9" style="12" customWidth="1"/>
    <col min="14329" max="14329" width="9.88671875" style="12" customWidth="1"/>
    <col min="14330" max="14330" width="9.33203125" style="12" customWidth="1"/>
    <col min="14331" max="14331" width="10" style="12" customWidth="1"/>
    <col min="14332" max="14332" width="9.109375" style="12" customWidth="1"/>
    <col min="14333" max="14333" width="9.33203125" style="12" customWidth="1"/>
    <col min="14334" max="14334" width="7.88671875" style="12" customWidth="1"/>
    <col min="14335" max="14335" width="9.88671875" style="12" customWidth="1"/>
    <col min="14336" max="14336" width="10.109375" style="12" customWidth="1"/>
    <col min="14337" max="14337" width="9.33203125" style="12" customWidth="1"/>
    <col min="14338" max="14338" width="6.33203125" style="12" customWidth="1"/>
    <col min="14339" max="14340" width="8.44140625" style="12" customWidth="1"/>
    <col min="14341" max="14341" width="13.6640625" style="12" customWidth="1"/>
    <col min="14342" max="14343" width="11.109375" style="12" customWidth="1"/>
    <col min="14344" max="14344" width="2.44140625" style="12" customWidth="1"/>
    <col min="14345" max="14345" width="10.109375" style="12" customWidth="1"/>
    <col min="14346" max="14346" width="11.44140625" style="12" customWidth="1"/>
    <col min="14347" max="14347" width="10.109375" style="12" customWidth="1"/>
    <col min="14348" max="14355" width="11.44140625" style="12" customWidth="1"/>
    <col min="14356" max="14484" width="10.109375" style="12" customWidth="1"/>
    <col min="14485" max="14572" width="9.109375" style="12"/>
    <col min="14573" max="14573" width="5.109375" style="12" customWidth="1"/>
    <col min="14574" max="14574" width="2.6640625" style="12" customWidth="1"/>
    <col min="14575" max="14575" width="30.6640625" style="12" customWidth="1"/>
    <col min="14576" max="14576" width="1.5546875" style="12" customWidth="1"/>
    <col min="14577" max="14577" width="5" style="12" customWidth="1"/>
    <col min="14578" max="14578" width="0.5546875" style="12" customWidth="1"/>
    <col min="14579" max="14579" width="13.6640625" style="12" customWidth="1"/>
    <col min="14580" max="14580" width="13.33203125" style="12" customWidth="1"/>
    <col min="14581" max="14581" width="11.88671875" style="12" customWidth="1"/>
    <col min="14582" max="14582" width="10.88671875" style="12" customWidth="1"/>
    <col min="14583" max="14583" width="8.44140625" style="12" customWidth="1"/>
    <col min="14584" max="14584" width="9" style="12" customWidth="1"/>
    <col min="14585" max="14585" width="9.88671875" style="12" customWidth="1"/>
    <col min="14586" max="14586" width="9.33203125" style="12" customWidth="1"/>
    <col min="14587" max="14587" width="10" style="12" customWidth="1"/>
    <col min="14588" max="14588" width="9.109375" style="12" customWidth="1"/>
    <col min="14589" max="14589" width="9.33203125" style="12" customWidth="1"/>
    <col min="14590" max="14590" width="7.88671875" style="12" customWidth="1"/>
    <col min="14591" max="14591" width="9.88671875" style="12" customWidth="1"/>
    <col min="14592" max="14592" width="10.109375" style="12" customWidth="1"/>
    <col min="14593" max="14593" width="9.33203125" style="12" customWidth="1"/>
    <col min="14594" max="14594" width="6.33203125" style="12" customWidth="1"/>
    <col min="14595" max="14596" width="8.44140625" style="12" customWidth="1"/>
    <col min="14597" max="14597" width="13.6640625" style="12" customWidth="1"/>
    <col min="14598" max="14599" width="11.109375" style="12" customWidth="1"/>
    <col min="14600" max="14600" width="2.44140625" style="12" customWidth="1"/>
    <col min="14601" max="14601" width="10.109375" style="12" customWidth="1"/>
    <col min="14602" max="14602" width="11.44140625" style="12" customWidth="1"/>
    <col min="14603" max="14603" width="10.109375" style="12" customWidth="1"/>
    <col min="14604" max="14611" width="11.44140625" style="12" customWidth="1"/>
    <col min="14612" max="14740" width="10.109375" style="12" customWidth="1"/>
    <col min="14741" max="14828" width="9.109375" style="12"/>
    <col min="14829" max="14829" width="5.109375" style="12" customWidth="1"/>
    <col min="14830" max="14830" width="2.6640625" style="12" customWidth="1"/>
    <col min="14831" max="14831" width="30.6640625" style="12" customWidth="1"/>
    <col min="14832" max="14832" width="1.5546875" style="12" customWidth="1"/>
    <col min="14833" max="14833" width="5" style="12" customWidth="1"/>
    <col min="14834" max="14834" width="0.5546875" style="12" customWidth="1"/>
    <col min="14835" max="14835" width="13.6640625" style="12" customWidth="1"/>
    <col min="14836" max="14836" width="13.33203125" style="12" customWidth="1"/>
    <col min="14837" max="14837" width="11.88671875" style="12" customWidth="1"/>
    <col min="14838" max="14838" width="10.88671875" style="12" customWidth="1"/>
    <col min="14839" max="14839" width="8.44140625" style="12" customWidth="1"/>
    <col min="14840" max="14840" width="9" style="12" customWidth="1"/>
    <col min="14841" max="14841" width="9.88671875" style="12" customWidth="1"/>
    <col min="14842" max="14842" width="9.33203125" style="12" customWidth="1"/>
    <col min="14843" max="14843" width="10" style="12" customWidth="1"/>
    <col min="14844" max="14844" width="9.109375" style="12" customWidth="1"/>
    <col min="14845" max="14845" width="9.33203125" style="12" customWidth="1"/>
    <col min="14846" max="14846" width="7.88671875" style="12" customWidth="1"/>
    <col min="14847" max="14847" width="9.88671875" style="12" customWidth="1"/>
    <col min="14848" max="14848" width="10.109375" style="12" customWidth="1"/>
    <col min="14849" max="14849" width="9.33203125" style="12" customWidth="1"/>
    <col min="14850" max="14850" width="6.33203125" style="12" customWidth="1"/>
    <col min="14851" max="14852" width="8.44140625" style="12" customWidth="1"/>
    <col min="14853" max="14853" width="13.6640625" style="12" customWidth="1"/>
    <col min="14854" max="14855" width="11.109375" style="12" customWidth="1"/>
    <col min="14856" max="14856" width="2.44140625" style="12" customWidth="1"/>
    <col min="14857" max="14857" width="10.109375" style="12" customWidth="1"/>
    <col min="14858" max="14858" width="11.44140625" style="12" customWidth="1"/>
    <col min="14859" max="14859" width="10.109375" style="12" customWidth="1"/>
    <col min="14860" max="14867" width="11.44140625" style="12" customWidth="1"/>
    <col min="14868" max="14996" width="10.109375" style="12" customWidth="1"/>
    <col min="14997" max="15084" width="9.109375" style="12"/>
    <col min="15085" max="15085" width="5.109375" style="12" customWidth="1"/>
    <col min="15086" max="15086" width="2.6640625" style="12" customWidth="1"/>
    <col min="15087" max="15087" width="30.6640625" style="12" customWidth="1"/>
    <col min="15088" max="15088" width="1.5546875" style="12" customWidth="1"/>
    <col min="15089" max="15089" width="5" style="12" customWidth="1"/>
    <col min="15090" max="15090" width="0.5546875" style="12" customWidth="1"/>
    <col min="15091" max="15091" width="13.6640625" style="12" customWidth="1"/>
    <col min="15092" max="15092" width="13.33203125" style="12" customWidth="1"/>
    <col min="15093" max="15093" width="11.88671875" style="12" customWidth="1"/>
    <col min="15094" max="15094" width="10.88671875" style="12" customWidth="1"/>
    <col min="15095" max="15095" width="8.44140625" style="12" customWidth="1"/>
    <col min="15096" max="15096" width="9" style="12" customWidth="1"/>
    <col min="15097" max="15097" width="9.88671875" style="12" customWidth="1"/>
    <col min="15098" max="15098" width="9.33203125" style="12" customWidth="1"/>
    <col min="15099" max="15099" width="10" style="12" customWidth="1"/>
    <col min="15100" max="15100" width="9.109375" style="12" customWidth="1"/>
    <col min="15101" max="15101" width="9.33203125" style="12" customWidth="1"/>
    <col min="15102" max="15102" width="7.88671875" style="12" customWidth="1"/>
    <col min="15103" max="15103" width="9.88671875" style="12" customWidth="1"/>
    <col min="15104" max="15104" width="10.109375" style="12" customWidth="1"/>
    <col min="15105" max="15105" width="9.33203125" style="12" customWidth="1"/>
    <col min="15106" max="15106" width="6.33203125" style="12" customWidth="1"/>
    <col min="15107" max="15108" width="8.44140625" style="12" customWidth="1"/>
    <col min="15109" max="15109" width="13.6640625" style="12" customWidth="1"/>
    <col min="15110" max="15111" width="11.109375" style="12" customWidth="1"/>
    <col min="15112" max="15112" width="2.44140625" style="12" customWidth="1"/>
    <col min="15113" max="15113" width="10.109375" style="12" customWidth="1"/>
    <col min="15114" max="15114" width="11.44140625" style="12" customWidth="1"/>
    <col min="15115" max="15115" width="10.109375" style="12" customWidth="1"/>
    <col min="15116" max="15123" width="11.44140625" style="12" customWidth="1"/>
    <col min="15124" max="15252" width="10.109375" style="12" customWidth="1"/>
    <col min="15253" max="15340" width="9.109375" style="12"/>
    <col min="15341" max="15341" width="5.109375" style="12" customWidth="1"/>
    <col min="15342" max="15342" width="2.6640625" style="12" customWidth="1"/>
    <col min="15343" max="15343" width="30.6640625" style="12" customWidth="1"/>
    <col min="15344" max="15344" width="1.5546875" style="12" customWidth="1"/>
    <col min="15345" max="15345" width="5" style="12" customWidth="1"/>
    <col min="15346" max="15346" width="0.5546875" style="12" customWidth="1"/>
    <col min="15347" max="15347" width="13.6640625" style="12" customWidth="1"/>
    <col min="15348" max="15348" width="13.33203125" style="12" customWidth="1"/>
    <col min="15349" max="15349" width="11.88671875" style="12" customWidth="1"/>
    <col min="15350" max="15350" width="10.88671875" style="12" customWidth="1"/>
    <col min="15351" max="15351" width="8.44140625" style="12" customWidth="1"/>
    <col min="15352" max="15352" width="9" style="12" customWidth="1"/>
    <col min="15353" max="15353" width="9.88671875" style="12" customWidth="1"/>
    <col min="15354" max="15354" width="9.33203125" style="12" customWidth="1"/>
    <col min="15355" max="15355" width="10" style="12" customWidth="1"/>
    <col min="15356" max="15356" width="9.109375" style="12" customWidth="1"/>
    <col min="15357" max="15357" width="9.33203125" style="12" customWidth="1"/>
    <col min="15358" max="15358" width="7.88671875" style="12" customWidth="1"/>
    <col min="15359" max="15359" width="9.88671875" style="12" customWidth="1"/>
    <col min="15360" max="15360" width="10.109375" style="12" customWidth="1"/>
    <col min="15361" max="15361" width="9.33203125" style="12" customWidth="1"/>
    <col min="15362" max="15362" width="6.33203125" style="12" customWidth="1"/>
    <col min="15363" max="15364" width="8.44140625" style="12" customWidth="1"/>
    <col min="15365" max="15365" width="13.6640625" style="12" customWidth="1"/>
    <col min="15366" max="15367" width="11.109375" style="12" customWidth="1"/>
    <col min="15368" max="15368" width="2.44140625" style="12" customWidth="1"/>
    <col min="15369" max="15369" width="10.109375" style="12" customWidth="1"/>
    <col min="15370" max="15370" width="11.44140625" style="12" customWidth="1"/>
    <col min="15371" max="15371" width="10.109375" style="12" customWidth="1"/>
    <col min="15372" max="15379" width="11.44140625" style="12" customWidth="1"/>
    <col min="15380" max="15508" width="10.109375" style="12" customWidth="1"/>
    <col min="15509" max="15596" width="9.109375" style="12"/>
    <col min="15597" max="15597" width="5.109375" style="12" customWidth="1"/>
    <col min="15598" max="15598" width="2.6640625" style="12" customWidth="1"/>
    <col min="15599" max="15599" width="30.6640625" style="12" customWidth="1"/>
    <col min="15600" max="15600" width="1.5546875" style="12" customWidth="1"/>
    <col min="15601" max="15601" width="5" style="12" customWidth="1"/>
    <col min="15602" max="15602" width="0.5546875" style="12" customWidth="1"/>
    <col min="15603" max="15603" width="13.6640625" style="12" customWidth="1"/>
    <col min="15604" max="15604" width="13.33203125" style="12" customWidth="1"/>
    <col min="15605" max="15605" width="11.88671875" style="12" customWidth="1"/>
    <col min="15606" max="15606" width="10.88671875" style="12" customWidth="1"/>
    <col min="15607" max="15607" width="8.44140625" style="12" customWidth="1"/>
    <col min="15608" max="15608" width="9" style="12" customWidth="1"/>
    <col min="15609" max="15609" width="9.88671875" style="12" customWidth="1"/>
    <col min="15610" max="15610" width="9.33203125" style="12" customWidth="1"/>
    <col min="15611" max="15611" width="10" style="12" customWidth="1"/>
    <col min="15612" max="15612" width="9.109375" style="12" customWidth="1"/>
    <col min="15613" max="15613" width="9.33203125" style="12" customWidth="1"/>
    <col min="15614" max="15614" width="7.88671875" style="12" customWidth="1"/>
    <col min="15615" max="15615" width="9.88671875" style="12" customWidth="1"/>
    <col min="15616" max="15616" width="10.109375" style="12" customWidth="1"/>
    <col min="15617" max="15617" width="9.33203125" style="12" customWidth="1"/>
    <col min="15618" max="15618" width="6.33203125" style="12" customWidth="1"/>
    <col min="15619" max="15620" width="8.44140625" style="12" customWidth="1"/>
    <col min="15621" max="15621" width="13.6640625" style="12" customWidth="1"/>
    <col min="15622" max="15623" width="11.109375" style="12" customWidth="1"/>
    <col min="15624" max="15624" width="2.44140625" style="12" customWidth="1"/>
    <col min="15625" max="15625" width="10.109375" style="12" customWidth="1"/>
    <col min="15626" max="15626" width="11.44140625" style="12" customWidth="1"/>
    <col min="15627" max="15627" width="10.109375" style="12" customWidth="1"/>
    <col min="15628" max="15635" width="11.44140625" style="12" customWidth="1"/>
    <col min="15636" max="15764" width="10.109375" style="12" customWidth="1"/>
    <col min="15765" max="15852" width="9.109375" style="12"/>
    <col min="15853" max="15853" width="5.109375" style="12" customWidth="1"/>
    <col min="15854" max="15854" width="2.6640625" style="12" customWidth="1"/>
    <col min="15855" max="15855" width="30.6640625" style="12" customWidth="1"/>
    <col min="15856" max="15856" width="1.5546875" style="12" customWidth="1"/>
    <col min="15857" max="15857" width="5" style="12" customWidth="1"/>
    <col min="15858" max="15858" width="0.5546875" style="12" customWidth="1"/>
    <col min="15859" max="15859" width="13.6640625" style="12" customWidth="1"/>
    <col min="15860" max="15860" width="13.33203125" style="12" customWidth="1"/>
    <col min="15861" max="15861" width="11.88671875" style="12" customWidth="1"/>
    <col min="15862" max="15862" width="10.88671875" style="12" customWidth="1"/>
    <col min="15863" max="15863" width="8.44140625" style="12" customWidth="1"/>
    <col min="15864" max="15864" width="9" style="12" customWidth="1"/>
    <col min="15865" max="15865" width="9.88671875" style="12" customWidth="1"/>
    <col min="15866" max="15866" width="9.33203125" style="12" customWidth="1"/>
    <col min="15867" max="15867" width="10" style="12" customWidth="1"/>
    <col min="15868" max="15868" width="9.109375" style="12" customWidth="1"/>
    <col min="15869" max="15869" width="9.33203125" style="12" customWidth="1"/>
    <col min="15870" max="15870" width="7.88671875" style="12" customWidth="1"/>
    <col min="15871" max="15871" width="9.88671875" style="12" customWidth="1"/>
    <col min="15872" max="15872" width="10.109375" style="12" customWidth="1"/>
    <col min="15873" max="15873" width="9.33203125" style="12" customWidth="1"/>
    <col min="15874" max="15874" width="6.33203125" style="12" customWidth="1"/>
    <col min="15875" max="15876" width="8.44140625" style="12" customWidth="1"/>
    <col min="15877" max="15877" width="13.6640625" style="12" customWidth="1"/>
    <col min="15878" max="15879" width="11.109375" style="12" customWidth="1"/>
    <col min="15880" max="15880" width="2.44140625" style="12" customWidth="1"/>
    <col min="15881" max="15881" width="10.109375" style="12" customWidth="1"/>
    <col min="15882" max="15882" width="11.44140625" style="12" customWidth="1"/>
    <col min="15883" max="15883" width="10.109375" style="12" customWidth="1"/>
    <col min="15884" max="15891" width="11.44140625" style="12" customWidth="1"/>
    <col min="15892" max="16020" width="10.109375" style="12" customWidth="1"/>
    <col min="16021" max="16108" width="9.109375" style="12"/>
    <col min="16109" max="16109" width="5.109375" style="12" customWidth="1"/>
    <col min="16110" max="16110" width="2.6640625" style="12" customWidth="1"/>
    <col min="16111" max="16111" width="30.6640625" style="12" customWidth="1"/>
    <col min="16112" max="16112" width="1.5546875" style="12" customWidth="1"/>
    <col min="16113" max="16113" width="5" style="12" customWidth="1"/>
    <col min="16114" max="16114" width="0.5546875" style="12" customWidth="1"/>
    <col min="16115" max="16115" width="13.6640625" style="12" customWidth="1"/>
    <col min="16116" max="16116" width="13.33203125" style="12" customWidth="1"/>
    <col min="16117" max="16117" width="11.88671875" style="12" customWidth="1"/>
    <col min="16118" max="16118" width="10.88671875" style="12" customWidth="1"/>
    <col min="16119" max="16119" width="8.44140625" style="12" customWidth="1"/>
    <col min="16120" max="16120" width="9" style="12" customWidth="1"/>
    <col min="16121" max="16121" width="9.88671875" style="12" customWidth="1"/>
    <col min="16122" max="16122" width="9.33203125" style="12" customWidth="1"/>
    <col min="16123" max="16123" width="10" style="12" customWidth="1"/>
    <col min="16124" max="16124" width="9.109375" style="12" customWidth="1"/>
    <col min="16125" max="16125" width="9.33203125" style="12" customWidth="1"/>
    <col min="16126" max="16126" width="7.88671875" style="12" customWidth="1"/>
    <col min="16127" max="16127" width="9.88671875" style="12" customWidth="1"/>
    <col min="16128" max="16128" width="10.109375" style="12" customWidth="1"/>
    <col min="16129" max="16129" width="9.33203125" style="12" customWidth="1"/>
    <col min="16130" max="16130" width="6.33203125" style="12" customWidth="1"/>
    <col min="16131" max="16132" width="8.44140625" style="12" customWidth="1"/>
    <col min="16133" max="16133" width="13.6640625" style="12" customWidth="1"/>
    <col min="16134" max="16135" width="11.109375" style="12" customWidth="1"/>
    <col min="16136" max="16136" width="2.44140625" style="12" customWidth="1"/>
    <col min="16137" max="16137" width="10.109375" style="12" customWidth="1"/>
    <col min="16138" max="16138" width="11.44140625" style="12" customWidth="1"/>
    <col min="16139" max="16139" width="10.109375" style="12" customWidth="1"/>
    <col min="16140" max="16147" width="11.44140625" style="12" customWidth="1"/>
    <col min="16148" max="16276" width="10.109375" style="12" customWidth="1"/>
    <col min="16277" max="16384" width="9.109375" style="12"/>
  </cols>
  <sheetData>
    <row r="1" spans="1:19" ht="13.2" x14ac:dyDescent="0.25">
      <c r="A1" s="13">
        <v>1</v>
      </c>
      <c r="B1" s="14" t="s">
        <v>0</v>
      </c>
      <c r="C1" s="15"/>
      <c r="D1" s="16"/>
      <c r="E1" s="17"/>
      <c r="F1" s="18"/>
      <c r="G1" s="19"/>
      <c r="H1" s="15"/>
      <c r="I1" s="15"/>
      <c r="J1" s="20" t="s">
        <v>486</v>
      </c>
      <c r="L1" s="21" t="s">
        <v>487</v>
      </c>
      <c r="M1" s="21" t="s">
        <v>487</v>
      </c>
      <c r="N1" s="21" t="s">
        <v>487</v>
      </c>
      <c r="O1" s="21" t="s">
        <v>487</v>
      </c>
      <c r="P1" s="21" t="s">
        <v>487</v>
      </c>
      <c r="Q1" s="21" t="s">
        <v>487</v>
      </c>
      <c r="R1" s="21" t="s">
        <v>487</v>
      </c>
      <c r="S1" s="21" t="s">
        <v>487</v>
      </c>
    </row>
    <row r="2" spans="1:19" ht="13.2" x14ac:dyDescent="0.25">
      <c r="A2" s="13">
        <f>A1+1</f>
        <v>2</v>
      </c>
      <c r="B2" s="22" t="str">
        <f>IF($E$1149=1,"SYSTEM PER BOOKS",IF($E$1149=2,"SYSTEM ADJUSTED",IF($E$1149=3,"BEFORE THE FEDERAL ENERGY REGULATORY COMMISSION",IF($E$1149=4,"BEFORE THE IDAHO PUBLIC UTILITIES COMMISSION",IF($E$1149=5,"BEFORE THE OREGON PUBLIC UTILITY COMMISSION-ACTUAL",IF($E$1149=6,"BEFORE THE OREGON PUBLIC UTILITY COMMISSION-TYPE I",IF($E$1149=7,"BEFORE THE OREGON PUBLIC UTILITY COMMISSION-TYPE I&amp;II",IF($E$1149=8,"PUBLIC SERVICE COMMISSION OF NEVADA",0))))))))</f>
        <v>BEFORE THE OREGON PUBLIC UTILITY COMMISSION-TYPE I&amp;II</v>
      </c>
      <c r="C2" s="15"/>
      <c r="D2" s="16"/>
      <c r="E2" s="17"/>
      <c r="F2" s="18"/>
      <c r="G2" s="19"/>
      <c r="H2" s="15"/>
      <c r="I2" s="15"/>
      <c r="J2" s="20" t="s">
        <v>486</v>
      </c>
      <c r="L2" s="21" t="s">
        <v>487</v>
      </c>
      <c r="M2" s="21" t="s">
        <v>487</v>
      </c>
      <c r="N2" s="21" t="s">
        <v>487</v>
      </c>
      <c r="O2" s="21" t="s">
        <v>487</v>
      </c>
      <c r="P2" s="21" t="s">
        <v>487</v>
      </c>
      <c r="Q2" s="21" t="s">
        <v>487</v>
      </c>
      <c r="R2" s="21" t="s">
        <v>487</v>
      </c>
      <c r="S2" s="21" t="s">
        <v>487</v>
      </c>
    </row>
    <row r="3" spans="1:19" ht="13.2" x14ac:dyDescent="0.25">
      <c r="A3" s="13">
        <f t="shared" ref="A3:A66" si="0">A2+1</f>
        <v>3</v>
      </c>
      <c r="B3" s="14" t="s">
        <v>488</v>
      </c>
      <c r="C3" s="15"/>
      <c r="D3" s="16"/>
      <c r="E3" s="17"/>
      <c r="F3" s="18"/>
      <c r="G3" s="19"/>
      <c r="H3" s="15"/>
      <c r="I3" s="15"/>
      <c r="J3" s="20" t="s">
        <v>486</v>
      </c>
      <c r="L3" s="21" t="s">
        <v>487</v>
      </c>
      <c r="M3" s="21" t="s">
        <v>487</v>
      </c>
      <c r="N3" s="21" t="s">
        <v>487</v>
      </c>
      <c r="O3" s="21" t="s">
        <v>487</v>
      </c>
      <c r="P3" s="21" t="s">
        <v>487</v>
      </c>
      <c r="Q3" s="21" t="s">
        <v>487</v>
      </c>
      <c r="R3" s="21" t="s">
        <v>487</v>
      </c>
      <c r="S3" s="21" t="s">
        <v>487</v>
      </c>
    </row>
    <row r="4" spans="1:19" ht="13.2" x14ac:dyDescent="0.25">
      <c r="A4" s="13">
        <f t="shared" si="0"/>
        <v>4</v>
      </c>
      <c r="B4" s="23">
        <v>2021</v>
      </c>
      <c r="C4" s="15"/>
      <c r="D4" s="16"/>
      <c r="E4" s="17"/>
      <c r="F4" s="18"/>
      <c r="G4" s="19"/>
      <c r="H4" s="15"/>
      <c r="I4" s="15"/>
      <c r="J4" s="20" t="s">
        <v>486</v>
      </c>
      <c r="L4" s="21" t="s">
        <v>487</v>
      </c>
      <c r="M4" s="21" t="s">
        <v>487</v>
      </c>
      <c r="N4" s="21" t="s">
        <v>487</v>
      </c>
      <c r="O4" s="21" t="s">
        <v>487</v>
      </c>
      <c r="P4" s="21" t="s">
        <v>487</v>
      </c>
      <c r="Q4" s="21" t="s">
        <v>487</v>
      </c>
      <c r="R4" s="21" t="s">
        <v>487</v>
      </c>
      <c r="S4" s="21" t="s">
        <v>487</v>
      </c>
    </row>
    <row r="5" spans="1:19" ht="11.4" x14ac:dyDescent="0.2">
      <c r="A5" s="13">
        <f t="shared" si="0"/>
        <v>5</v>
      </c>
      <c r="B5" s="24"/>
      <c r="C5" s="25"/>
      <c r="D5" s="26"/>
      <c r="E5" s="26"/>
      <c r="F5" s="25"/>
      <c r="G5" s="25"/>
      <c r="H5" s="25"/>
      <c r="I5" s="25"/>
      <c r="J5" s="20" t="s">
        <v>486</v>
      </c>
      <c r="L5" s="21" t="s">
        <v>487</v>
      </c>
      <c r="M5" s="21" t="s">
        <v>487</v>
      </c>
      <c r="N5" s="21" t="s">
        <v>487</v>
      </c>
      <c r="O5" s="21" t="s">
        <v>487</v>
      </c>
      <c r="P5" s="21" t="s">
        <v>487</v>
      </c>
      <c r="Q5" s="21" t="s">
        <v>487</v>
      </c>
      <c r="R5" s="21" t="s">
        <v>487</v>
      </c>
      <c r="S5" s="21" t="s">
        <v>487</v>
      </c>
    </row>
    <row r="6" spans="1:19" ht="11.4" x14ac:dyDescent="0.2">
      <c r="A6" s="13">
        <f t="shared" si="0"/>
        <v>6</v>
      </c>
      <c r="B6" s="27"/>
      <c r="C6" s="25"/>
      <c r="D6" s="26"/>
      <c r="E6" s="26"/>
      <c r="F6" s="25"/>
      <c r="G6" s="25"/>
      <c r="H6" s="28"/>
      <c r="I6" s="29"/>
      <c r="J6" s="20" t="s">
        <v>486</v>
      </c>
      <c r="M6" s="21" t="s">
        <v>489</v>
      </c>
      <c r="N6" s="21" t="s">
        <v>490</v>
      </c>
      <c r="O6" s="21" t="s">
        <v>491</v>
      </c>
      <c r="Q6" s="30" t="s">
        <v>492</v>
      </c>
      <c r="R6" s="30" t="s">
        <v>492</v>
      </c>
      <c r="S6" s="21" t="s">
        <v>493</v>
      </c>
    </row>
    <row r="7" spans="1:19" x14ac:dyDescent="0.2">
      <c r="A7" s="13">
        <f t="shared" si="0"/>
        <v>7</v>
      </c>
      <c r="B7" s="31" t="s">
        <v>5</v>
      </c>
      <c r="C7" s="31"/>
      <c r="D7" s="32"/>
      <c r="E7" s="33" t="s">
        <v>494</v>
      </c>
      <c r="F7" s="34"/>
      <c r="G7" s="1" t="s">
        <v>1</v>
      </c>
      <c r="H7" s="1" t="s">
        <v>495</v>
      </c>
      <c r="I7" s="1" t="s">
        <v>492</v>
      </c>
      <c r="J7" s="20" t="s">
        <v>486</v>
      </c>
      <c r="L7" s="21" t="s">
        <v>496</v>
      </c>
      <c r="M7" s="21" t="s">
        <v>497</v>
      </c>
      <c r="N7" s="21" t="s">
        <v>497</v>
      </c>
      <c r="O7" s="21" t="s">
        <v>497</v>
      </c>
      <c r="P7" s="30" t="s">
        <v>492</v>
      </c>
      <c r="Q7" s="30" t="s">
        <v>498</v>
      </c>
      <c r="R7" s="30" t="s">
        <v>499</v>
      </c>
      <c r="S7" s="21" t="s">
        <v>497</v>
      </c>
    </row>
    <row r="8" spans="1:19" x14ac:dyDescent="0.2">
      <c r="A8" s="13">
        <f t="shared" si="0"/>
        <v>8</v>
      </c>
      <c r="B8" s="35" t="s">
        <v>3</v>
      </c>
      <c r="C8" s="31"/>
      <c r="D8" s="32"/>
      <c r="E8" s="36" t="s">
        <v>500</v>
      </c>
      <c r="F8" s="37"/>
      <c r="G8" s="2" t="s">
        <v>2</v>
      </c>
      <c r="H8" s="2" t="s">
        <v>501</v>
      </c>
      <c r="I8" s="2" t="s">
        <v>502</v>
      </c>
      <c r="J8" s="20" t="s">
        <v>486</v>
      </c>
      <c r="L8" s="21" t="s">
        <v>503</v>
      </c>
      <c r="M8" s="21" t="s">
        <v>504</v>
      </c>
      <c r="N8" s="21" t="s">
        <v>504</v>
      </c>
      <c r="O8" s="21" t="s">
        <v>504</v>
      </c>
      <c r="P8" s="30" t="s">
        <v>505</v>
      </c>
      <c r="Q8" s="30" t="s">
        <v>506</v>
      </c>
      <c r="R8" s="30" t="s">
        <v>504</v>
      </c>
      <c r="S8" s="21" t="s">
        <v>504</v>
      </c>
    </row>
    <row r="9" spans="1:19" x14ac:dyDescent="0.2">
      <c r="A9" s="13">
        <f t="shared" si="0"/>
        <v>9</v>
      </c>
      <c r="B9" s="38" t="str">
        <f>"* * * SUMMARY OF RESULTS * * *"</f>
        <v>* * * SUMMARY OF RESULTS * * *</v>
      </c>
      <c r="C9" s="4"/>
      <c r="D9" s="39"/>
      <c r="E9" s="40"/>
      <c r="F9" s="41"/>
      <c r="J9" s="20" t="s">
        <v>486</v>
      </c>
    </row>
    <row r="10" spans="1:19" x14ac:dyDescent="0.2">
      <c r="A10" s="13">
        <f t="shared" si="0"/>
        <v>10</v>
      </c>
      <c r="B10" s="4" t="str">
        <f>" "</f>
        <v xml:space="preserve"> </v>
      </c>
      <c r="C10" s="4"/>
      <c r="D10" s="39"/>
      <c r="E10" s="40"/>
      <c r="F10" s="41"/>
      <c r="G10" s="42" t="s">
        <v>5</v>
      </c>
      <c r="J10" s="20" t="s">
        <v>486</v>
      </c>
    </row>
    <row r="11" spans="1:19" x14ac:dyDescent="0.2">
      <c r="A11" s="13">
        <f t="shared" si="0"/>
        <v>11</v>
      </c>
      <c r="B11" s="4" t="s">
        <v>4</v>
      </c>
      <c r="C11" s="4"/>
      <c r="D11" s="39"/>
      <c r="E11" s="40"/>
      <c r="F11" s="41"/>
      <c r="J11" s="20" t="s">
        <v>486</v>
      </c>
    </row>
    <row r="12" spans="1:19" x14ac:dyDescent="0.2">
      <c r="A12" s="13">
        <f t="shared" si="0"/>
        <v>12</v>
      </c>
      <c r="B12" s="4"/>
      <c r="C12" s="4"/>
      <c r="D12" s="39"/>
      <c r="E12" s="40"/>
      <c r="F12" s="41"/>
      <c r="J12" s="20" t="s">
        <v>486</v>
      </c>
    </row>
    <row r="13" spans="1:19" x14ac:dyDescent="0.2">
      <c r="A13" s="13">
        <f t="shared" si="0"/>
        <v>13</v>
      </c>
      <c r="B13" s="4" t="s">
        <v>5</v>
      </c>
      <c r="C13" s="4" t="s">
        <v>6</v>
      </c>
      <c r="D13" s="43"/>
      <c r="E13" s="44"/>
      <c r="F13" s="45"/>
      <c r="G13" s="42">
        <f t="shared" ref="G13:G22" si="1">SUM(H13:I13)</f>
        <v>6100623206.9864626</v>
      </c>
      <c r="H13" s="42">
        <f t="shared" ref="H13:I13" si="2">(H178)</f>
        <v>5851880262.7197924</v>
      </c>
      <c r="I13" s="42">
        <f t="shared" si="2"/>
        <v>248742944.26666987</v>
      </c>
      <c r="J13" s="20" t="s">
        <v>486</v>
      </c>
    </row>
    <row r="14" spans="1:19" x14ac:dyDescent="0.2">
      <c r="A14" s="13">
        <f t="shared" si="0"/>
        <v>14</v>
      </c>
      <c r="B14" s="4" t="s">
        <v>5</v>
      </c>
      <c r="C14" s="4" t="s">
        <v>7</v>
      </c>
      <c r="D14" s="43"/>
      <c r="E14" s="44"/>
      <c r="F14" s="45"/>
      <c r="G14" s="42">
        <f t="shared" si="1"/>
        <v>2193004789.1869235</v>
      </c>
      <c r="H14" s="42">
        <f t="shared" ref="H14:I14" si="3">(H233)</f>
        <v>2101476612.1073751</v>
      </c>
      <c r="I14" s="42">
        <f t="shared" si="3"/>
        <v>91528177.079548419</v>
      </c>
      <c r="J14" s="20" t="s">
        <v>486</v>
      </c>
    </row>
    <row r="15" spans="1:19" x14ac:dyDescent="0.2">
      <c r="A15" s="13">
        <f t="shared" si="0"/>
        <v>15</v>
      </c>
      <c r="B15" s="4" t="s">
        <v>5</v>
      </c>
      <c r="C15" s="4" t="s">
        <v>8</v>
      </c>
      <c r="D15" s="43"/>
      <c r="E15" s="44"/>
      <c r="F15" s="45"/>
      <c r="G15" s="42">
        <f t="shared" si="1"/>
        <v>35939582.588461503</v>
      </c>
      <c r="H15" s="42">
        <f t="shared" ref="H15:I15" si="4">(H239)</f>
        <v>34499229.415675096</v>
      </c>
      <c r="I15" s="42">
        <f t="shared" si="4"/>
        <v>1440353.1727864034</v>
      </c>
      <c r="J15" s="20" t="s">
        <v>486</v>
      </c>
    </row>
    <row r="16" spans="1:19" x14ac:dyDescent="0.2">
      <c r="A16" s="13">
        <f t="shared" si="0"/>
        <v>16</v>
      </c>
      <c r="B16" s="4" t="s">
        <v>5</v>
      </c>
      <c r="C16" s="4" t="s">
        <v>9</v>
      </c>
      <c r="D16" s="43"/>
      <c r="E16" s="44"/>
      <c r="F16" s="45"/>
      <c r="G16" s="42">
        <f t="shared" si="1"/>
        <v>3871678835.2110772</v>
      </c>
      <c r="H16" s="42">
        <f t="shared" ref="H16:I16" si="5">SUM(H13-H14-H15)</f>
        <v>3715904421.1967421</v>
      </c>
      <c r="I16" s="42">
        <f t="shared" si="5"/>
        <v>155774414.01433504</v>
      </c>
      <c r="J16" s="20" t="s">
        <v>486</v>
      </c>
    </row>
    <row r="17" spans="1:11" x14ac:dyDescent="0.2">
      <c r="A17" s="13">
        <f t="shared" si="0"/>
        <v>17</v>
      </c>
      <c r="B17" s="4" t="s">
        <v>5</v>
      </c>
      <c r="C17" s="4" t="s">
        <v>10</v>
      </c>
      <c r="D17" s="43"/>
      <c r="E17" s="44"/>
      <c r="F17" s="45"/>
      <c r="G17" s="42">
        <f t="shared" si="1"/>
        <v>6957882.9738461617</v>
      </c>
      <c r="H17" s="42">
        <f t="shared" ref="H17:I17" si="6">(H251)</f>
        <v>6900428.2194322022</v>
      </c>
      <c r="I17" s="42">
        <f t="shared" si="6"/>
        <v>57454.754413959432</v>
      </c>
      <c r="J17" s="20" t="s">
        <v>486</v>
      </c>
    </row>
    <row r="18" spans="1:11" x14ac:dyDescent="0.2">
      <c r="A18" s="13">
        <f t="shared" si="0"/>
        <v>18</v>
      </c>
      <c r="B18" s="4" t="s">
        <v>5</v>
      </c>
      <c r="C18" s="4" t="s">
        <v>11</v>
      </c>
      <c r="D18" s="43"/>
      <c r="E18" s="44"/>
      <c r="F18" s="45"/>
      <c r="G18" s="42">
        <f t="shared" si="1"/>
        <v>470396795</v>
      </c>
      <c r="H18" s="42">
        <f t="shared" ref="H18:I18" si="7">(H261)</f>
        <v>451209928.00318617</v>
      </c>
      <c r="I18" s="42">
        <f t="shared" si="7"/>
        <v>19186866.996813845</v>
      </c>
      <c r="J18" s="20" t="s">
        <v>486</v>
      </c>
    </row>
    <row r="19" spans="1:11" x14ac:dyDescent="0.2">
      <c r="A19" s="13">
        <f t="shared" si="0"/>
        <v>19</v>
      </c>
      <c r="B19" s="4" t="s">
        <v>5</v>
      </c>
      <c r="C19" s="4" t="s">
        <v>12</v>
      </c>
      <c r="D19" s="43"/>
      <c r="E19" s="44"/>
      <c r="F19" s="45"/>
      <c r="G19" s="42">
        <f t="shared" si="1"/>
        <v>3126655.9869230776</v>
      </c>
      <c r="H19" s="42">
        <f t="shared" ref="H19:I19" si="8">H299+H301</f>
        <v>3025836.8270011232</v>
      </c>
      <c r="I19" s="42">
        <f t="shared" si="8"/>
        <v>100819.15992195421</v>
      </c>
      <c r="J19" s="20" t="s">
        <v>486</v>
      </c>
    </row>
    <row r="20" spans="1:11" x14ac:dyDescent="0.2">
      <c r="A20" s="13">
        <f t="shared" si="0"/>
        <v>20</v>
      </c>
      <c r="B20" s="4" t="s">
        <v>5</v>
      </c>
      <c r="C20" s="4" t="s">
        <v>13</v>
      </c>
      <c r="D20" s="43"/>
      <c r="E20" s="44"/>
      <c r="F20" s="45"/>
      <c r="G20" s="42">
        <f t="shared" si="1"/>
        <v>99736158.000000015</v>
      </c>
      <c r="H20" s="42">
        <f t="shared" ref="H20:I20" si="9">(H283)</f>
        <v>95540532.207695529</v>
      </c>
      <c r="I20" s="42">
        <f t="shared" si="9"/>
        <v>4195625.7923044851</v>
      </c>
      <c r="J20" s="20" t="s">
        <v>486</v>
      </c>
    </row>
    <row r="21" spans="1:11" x14ac:dyDescent="0.2">
      <c r="A21" s="13">
        <f t="shared" si="0"/>
        <v>21</v>
      </c>
      <c r="B21" s="4" t="s">
        <v>5</v>
      </c>
      <c r="C21" s="4" t="s">
        <v>14</v>
      </c>
      <c r="D21" s="43"/>
      <c r="E21" s="44"/>
      <c r="F21" s="45"/>
      <c r="G21" s="42">
        <f t="shared" si="1"/>
        <v>18031859.420000002</v>
      </c>
      <c r="H21" s="42">
        <f>(H322)</f>
        <v>15094481.136434797</v>
      </c>
      <c r="I21" s="42">
        <f>(I322)</f>
        <v>2937378.2835652037</v>
      </c>
      <c r="J21" s="20" t="s">
        <v>486</v>
      </c>
    </row>
    <row r="22" spans="1:11" x14ac:dyDescent="0.2">
      <c r="A22" s="13">
        <f t="shared" si="0"/>
        <v>22</v>
      </c>
      <c r="B22" s="4" t="s">
        <v>5</v>
      </c>
      <c r="C22" s="4" t="s">
        <v>15</v>
      </c>
      <c r="D22" s="43"/>
      <c r="E22" s="44"/>
      <c r="F22" s="45"/>
      <c r="G22" s="42">
        <f t="shared" si="1"/>
        <v>42158041</v>
      </c>
      <c r="H22" s="42">
        <f>(H328)</f>
        <v>40295386.790731534</v>
      </c>
      <c r="I22" s="42">
        <f>(I328)</f>
        <v>1862654.2092684684</v>
      </c>
      <c r="J22" s="20" t="s">
        <v>486</v>
      </c>
    </row>
    <row r="23" spans="1:11" x14ac:dyDescent="0.2">
      <c r="A23" s="13">
        <f t="shared" si="0"/>
        <v>23</v>
      </c>
      <c r="B23" s="4" t="s">
        <v>5</v>
      </c>
      <c r="C23" s="4" t="s">
        <v>5</v>
      </c>
      <c r="D23" s="43"/>
      <c r="E23" s="44"/>
      <c r="F23" s="45"/>
      <c r="J23" s="20" t="s">
        <v>486</v>
      </c>
    </row>
    <row r="24" spans="1:11" x14ac:dyDescent="0.2">
      <c r="A24" s="13">
        <f t="shared" si="0"/>
        <v>24</v>
      </c>
      <c r="B24" s="4" t="s">
        <v>5</v>
      </c>
      <c r="C24" s="4" t="s">
        <v>16</v>
      </c>
      <c r="D24" s="43"/>
      <c r="E24" s="44"/>
      <c r="F24" s="45"/>
      <c r="G24" s="46">
        <f t="shared" ref="G24:I24" si="10">SUM(G16-G17-G18+G19+G20+G21+G22)</f>
        <v>3557376871.6441545</v>
      </c>
      <c r="H24" s="46">
        <f t="shared" si="10"/>
        <v>3411750301.9359865</v>
      </c>
      <c r="I24" s="46">
        <f t="shared" si="10"/>
        <v>145626569.70816734</v>
      </c>
      <c r="J24" s="20" t="s">
        <v>486</v>
      </c>
    </row>
    <row r="25" spans="1:11" x14ac:dyDescent="0.2">
      <c r="A25" s="13">
        <f t="shared" si="0"/>
        <v>25</v>
      </c>
      <c r="B25" s="4" t="s">
        <v>5</v>
      </c>
      <c r="C25" s="4" t="s">
        <v>5</v>
      </c>
      <c r="D25" s="43"/>
      <c r="E25" s="44"/>
      <c r="F25" s="45"/>
      <c r="J25" s="20" t="s">
        <v>486</v>
      </c>
    </row>
    <row r="26" spans="1:11" x14ac:dyDescent="0.2">
      <c r="A26" s="13">
        <f t="shared" si="0"/>
        <v>26</v>
      </c>
      <c r="B26" s="4" t="s">
        <v>17</v>
      </c>
      <c r="C26" s="4"/>
      <c r="D26" s="43"/>
      <c r="E26" s="44"/>
      <c r="F26" s="45"/>
      <c r="J26" s="20" t="s">
        <v>486</v>
      </c>
    </row>
    <row r="27" spans="1:11" x14ac:dyDescent="0.2">
      <c r="A27" s="13">
        <f t="shared" si="0"/>
        <v>27</v>
      </c>
      <c r="B27" s="4" t="str">
        <f>" "</f>
        <v xml:space="preserve"> </v>
      </c>
      <c r="C27" s="4" t="s">
        <v>18</v>
      </c>
      <c r="D27" s="43"/>
      <c r="E27" s="44"/>
      <c r="F27" s="45"/>
      <c r="J27" s="20" t="s">
        <v>486</v>
      </c>
    </row>
    <row r="28" spans="1:11" x14ac:dyDescent="0.2">
      <c r="A28" s="13">
        <f t="shared" si="0"/>
        <v>28</v>
      </c>
      <c r="B28" s="4" t="s">
        <v>5</v>
      </c>
      <c r="C28" s="4" t="s">
        <v>19</v>
      </c>
      <c r="D28" s="43"/>
      <c r="E28" s="44"/>
      <c r="F28" s="45"/>
      <c r="G28" s="42">
        <f>SUM(H28:I28)</f>
        <v>1089752416.933702</v>
      </c>
      <c r="H28" s="42">
        <f>(H337)</f>
        <v>1037484128.7956781</v>
      </c>
      <c r="I28" s="42">
        <f>(I337)</f>
        <v>52268288.138023771</v>
      </c>
      <c r="J28" s="20" t="s">
        <v>486</v>
      </c>
    </row>
    <row r="29" spans="1:11" x14ac:dyDescent="0.2">
      <c r="A29" s="13">
        <f t="shared" si="0"/>
        <v>29</v>
      </c>
      <c r="B29" s="4" t="s">
        <v>5</v>
      </c>
      <c r="C29" s="4" t="s">
        <v>20</v>
      </c>
      <c r="D29" s="43"/>
      <c r="E29" s="44"/>
      <c r="F29" s="45"/>
      <c r="G29" s="42">
        <f>SUM(H29:I29)</f>
        <v>82728976.670000017</v>
      </c>
      <c r="H29" s="42">
        <f>(H375)</f>
        <v>79548785.99515</v>
      </c>
      <c r="I29" s="42">
        <f>(I375)</f>
        <v>3180190.6748500112</v>
      </c>
      <c r="J29" s="20" t="s">
        <v>486</v>
      </c>
    </row>
    <row r="30" spans="1:11" x14ac:dyDescent="0.2">
      <c r="A30" s="13">
        <f t="shared" si="0"/>
        <v>30</v>
      </c>
      <c r="B30" s="4" t="s">
        <v>5</v>
      </c>
      <c r="C30" s="4" t="s">
        <v>21</v>
      </c>
      <c r="D30" s="43"/>
      <c r="E30" s="44"/>
      <c r="F30" s="45"/>
      <c r="G30" s="46">
        <f t="shared" ref="G30:I30" si="11">SUM(G28+G29)</f>
        <v>1172481393.6037021</v>
      </c>
      <c r="H30" s="46">
        <f t="shared" si="11"/>
        <v>1117032914.7908282</v>
      </c>
      <c r="I30" s="46">
        <f t="shared" si="11"/>
        <v>55448478.812873781</v>
      </c>
      <c r="J30" s="20" t="s">
        <v>486</v>
      </c>
    </row>
    <row r="31" spans="1:11" x14ac:dyDescent="0.2">
      <c r="A31" s="13">
        <f t="shared" si="0"/>
        <v>31</v>
      </c>
      <c r="B31" s="4" t="s">
        <v>5</v>
      </c>
      <c r="C31" s="4" t="s">
        <v>22</v>
      </c>
      <c r="D31" s="43"/>
      <c r="E31" s="44"/>
      <c r="F31" s="45"/>
      <c r="J31" s="20" t="s">
        <v>486</v>
      </c>
    </row>
    <row r="32" spans="1:11" x14ac:dyDescent="0.2">
      <c r="A32" s="13">
        <f t="shared" si="0"/>
        <v>32</v>
      </c>
      <c r="B32" s="4" t="s">
        <v>5</v>
      </c>
      <c r="C32" s="4" t="s">
        <v>23</v>
      </c>
      <c r="D32" s="43"/>
      <c r="E32" s="44"/>
      <c r="F32" s="45"/>
      <c r="G32" s="42">
        <f t="shared" ref="G32:G37" si="12">SUM(H32:I32)</f>
        <v>783001496.63308632</v>
      </c>
      <c r="H32" s="42">
        <f>(H621)</f>
        <v>746817824.95303774</v>
      </c>
      <c r="I32" s="42">
        <f>(I621)</f>
        <v>36183671.680048637</v>
      </c>
      <c r="J32" s="20" t="s">
        <v>486</v>
      </c>
      <c r="K32" s="47"/>
    </row>
    <row r="33" spans="1:19" x14ac:dyDescent="0.2">
      <c r="A33" s="13">
        <f t="shared" si="0"/>
        <v>33</v>
      </c>
      <c r="B33" s="4" t="s">
        <v>5</v>
      </c>
      <c r="C33" s="4" t="s">
        <v>24</v>
      </c>
      <c r="D33" s="43"/>
      <c r="E33" s="44"/>
      <c r="F33" s="45"/>
      <c r="G33" s="42">
        <f t="shared" si="12"/>
        <v>148669180.34000006</v>
      </c>
      <c r="H33" s="42">
        <f>(H675)</f>
        <v>142563777.40413702</v>
      </c>
      <c r="I33" s="42">
        <f>(I675)</f>
        <v>6105402.9358630348</v>
      </c>
      <c r="J33" s="20" t="s">
        <v>486</v>
      </c>
      <c r="K33" s="47"/>
    </row>
    <row r="34" spans="1:19" x14ac:dyDescent="0.2">
      <c r="A34" s="13">
        <f t="shared" si="0"/>
        <v>34</v>
      </c>
      <c r="B34" s="4" t="s">
        <v>5</v>
      </c>
      <c r="C34" s="4" t="s">
        <v>25</v>
      </c>
      <c r="D34" s="43"/>
      <c r="E34" s="44"/>
      <c r="F34" s="45"/>
      <c r="G34" s="42">
        <f t="shared" si="12"/>
        <v>9187906.3199999984</v>
      </c>
      <c r="H34" s="42">
        <f>(H681)</f>
        <v>8817198.6195093133</v>
      </c>
      <c r="I34" s="42">
        <f>(I681)</f>
        <v>370707.70049068518</v>
      </c>
      <c r="J34" s="20" t="s">
        <v>486</v>
      </c>
      <c r="K34" s="47"/>
    </row>
    <row r="35" spans="1:19" x14ac:dyDescent="0.2">
      <c r="A35" s="13">
        <f t="shared" si="0"/>
        <v>35</v>
      </c>
      <c r="B35" s="4"/>
      <c r="C35" s="4" t="s">
        <v>26</v>
      </c>
      <c r="D35" s="43"/>
      <c r="E35" s="44"/>
      <c r="F35" s="45"/>
      <c r="G35" s="42">
        <f t="shared" si="12"/>
        <v>56782.84</v>
      </c>
      <c r="H35" s="42">
        <f>(H685)</f>
        <v>54556.95</v>
      </c>
      <c r="I35" s="42">
        <f>(I685)</f>
        <v>2225.89</v>
      </c>
      <c r="J35" s="20" t="s">
        <v>486</v>
      </c>
      <c r="K35" s="47"/>
    </row>
    <row r="36" spans="1:19" x14ac:dyDescent="0.2">
      <c r="A36" s="13">
        <f t="shared" si="0"/>
        <v>36</v>
      </c>
      <c r="B36" s="4" t="s">
        <v>5</v>
      </c>
      <c r="C36" s="4" t="s">
        <v>27</v>
      </c>
      <c r="D36" s="43"/>
      <c r="E36" s="44"/>
      <c r="F36" s="45"/>
      <c r="G36" s="42">
        <f t="shared" si="12"/>
        <v>31768584.580000002</v>
      </c>
      <c r="H36" s="42">
        <f>(H722)</f>
        <v>29549207.926588491</v>
      </c>
      <c r="I36" s="42">
        <f>(I722)</f>
        <v>2219376.6534115127</v>
      </c>
      <c r="J36" s="20" t="s">
        <v>486</v>
      </c>
      <c r="K36" s="47"/>
    </row>
    <row r="37" spans="1:19" x14ac:dyDescent="0.2">
      <c r="A37" s="13">
        <f t="shared" si="0"/>
        <v>37</v>
      </c>
      <c r="B37" s="4"/>
      <c r="C37" s="4" t="s">
        <v>28</v>
      </c>
      <c r="D37" s="43"/>
      <c r="E37" s="44"/>
      <c r="F37" s="45"/>
      <c r="G37" s="42">
        <f t="shared" si="12"/>
        <v>1497775</v>
      </c>
      <c r="H37" s="42">
        <f>(H730)</f>
        <v>1219115</v>
      </c>
      <c r="I37" s="42">
        <f>(I730)</f>
        <v>278660</v>
      </c>
      <c r="J37" s="20" t="s">
        <v>486</v>
      </c>
      <c r="K37" s="47"/>
    </row>
    <row r="38" spans="1:19" x14ac:dyDescent="0.2">
      <c r="A38" s="13">
        <f t="shared" si="0"/>
        <v>38</v>
      </c>
      <c r="B38" s="4" t="s">
        <v>5</v>
      </c>
      <c r="C38" s="4" t="s">
        <v>29</v>
      </c>
      <c r="D38" s="43"/>
      <c r="E38" s="44"/>
      <c r="F38" s="45"/>
      <c r="G38" s="42">
        <f>G738</f>
        <v>-8082044.9100000011</v>
      </c>
      <c r="H38" s="42">
        <f>(H738)</f>
        <v>-7796337.2187025947</v>
      </c>
      <c r="I38" s="42">
        <f>(I738)</f>
        <v>-285707.69129740587</v>
      </c>
      <c r="J38" s="20" t="s">
        <v>486</v>
      </c>
      <c r="K38" s="47"/>
    </row>
    <row r="39" spans="1:19" x14ac:dyDescent="0.2">
      <c r="A39" s="13">
        <f t="shared" si="0"/>
        <v>39</v>
      </c>
      <c r="B39" s="4" t="s">
        <v>5</v>
      </c>
      <c r="C39" s="4" t="s">
        <v>30</v>
      </c>
      <c r="D39" s="43"/>
      <c r="E39" s="44"/>
      <c r="F39" s="45"/>
      <c r="G39" s="42">
        <f>G740</f>
        <v>11502847</v>
      </c>
      <c r="H39" s="42">
        <f>(H740)</f>
        <v>11033772.714170994</v>
      </c>
      <c r="I39" s="42">
        <f>(I740)</f>
        <v>469074.28582900483</v>
      </c>
      <c r="J39" s="20" t="s">
        <v>486</v>
      </c>
      <c r="K39" s="47"/>
    </row>
    <row r="40" spans="1:19" x14ac:dyDescent="0.2">
      <c r="A40" s="13">
        <f t="shared" si="0"/>
        <v>40</v>
      </c>
      <c r="B40" s="4" t="s">
        <v>5</v>
      </c>
      <c r="C40" s="4" t="s">
        <v>31</v>
      </c>
      <c r="D40" s="43"/>
      <c r="E40" s="44"/>
      <c r="F40" s="45"/>
      <c r="G40" s="42">
        <f>SUM(H40:I40)</f>
        <v>4948472.5408063969</v>
      </c>
      <c r="H40" s="42">
        <f>(H744)</f>
        <v>4538977.4670740031</v>
      </c>
      <c r="I40" s="42">
        <f>(I744)</f>
        <v>409495.07373239344</v>
      </c>
      <c r="J40" s="20" t="s">
        <v>486</v>
      </c>
      <c r="K40" s="47"/>
    </row>
    <row r="41" spans="1:19" x14ac:dyDescent="0.2">
      <c r="A41" s="13">
        <f t="shared" si="0"/>
        <v>41</v>
      </c>
      <c r="B41" s="4" t="s">
        <v>5</v>
      </c>
      <c r="C41" s="4" t="s">
        <v>32</v>
      </c>
      <c r="D41" s="43"/>
      <c r="E41" s="44"/>
      <c r="F41" s="45"/>
      <c r="G41" s="42">
        <f>SUM(H41:I41)</f>
        <v>-1919683.5513197444</v>
      </c>
      <c r="H41" s="42">
        <f>(H750)</f>
        <v>-2002865.89657471</v>
      </c>
      <c r="I41" s="42">
        <f>(I750)</f>
        <v>83182.34525496565</v>
      </c>
      <c r="J41" s="20" t="s">
        <v>486</v>
      </c>
      <c r="K41" s="47"/>
    </row>
    <row r="42" spans="1:19" x14ac:dyDescent="0.2">
      <c r="A42" s="13">
        <f t="shared" si="0"/>
        <v>42</v>
      </c>
      <c r="B42" s="4" t="s">
        <v>5</v>
      </c>
      <c r="C42" s="4" t="s">
        <v>33</v>
      </c>
      <c r="D42" s="43"/>
      <c r="E42" s="44"/>
      <c r="F42" s="45"/>
      <c r="G42" s="46">
        <f t="shared" ref="G42:I42" si="13">SUM(G32:G41)</f>
        <v>980631316.79257321</v>
      </c>
      <c r="H42" s="46">
        <f t="shared" si="13"/>
        <v>934795227.91924047</v>
      </c>
      <c r="I42" s="46">
        <f t="shared" si="13"/>
        <v>45836088.873332828</v>
      </c>
      <c r="J42" s="20" t="s">
        <v>486</v>
      </c>
    </row>
    <row r="43" spans="1:19" x14ac:dyDescent="0.2">
      <c r="A43" s="13">
        <f t="shared" si="0"/>
        <v>43</v>
      </c>
      <c r="B43" s="4" t="s">
        <v>5</v>
      </c>
      <c r="C43" s="4" t="s">
        <v>34</v>
      </c>
      <c r="D43" s="43"/>
      <c r="E43" s="44"/>
      <c r="F43" s="45"/>
      <c r="G43" s="46">
        <f t="shared" ref="G43:I43" si="14">SUM(G30-G42)</f>
        <v>191850076.81112885</v>
      </c>
      <c r="H43" s="46">
        <f t="shared" si="14"/>
        <v>182237686.87158775</v>
      </c>
      <c r="I43" s="46">
        <f t="shared" si="14"/>
        <v>9612389.9395409524</v>
      </c>
      <c r="J43" s="20" t="s">
        <v>486</v>
      </c>
    </row>
    <row r="44" spans="1:19" x14ac:dyDescent="0.2">
      <c r="A44" s="13">
        <f t="shared" si="0"/>
        <v>44</v>
      </c>
      <c r="B44" s="4" t="s">
        <v>35</v>
      </c>
      <c r="C44" s="4" t="s">
        <v>36</v>
      </c>
      <c r="D44" s="43"/>
      <c r="E44" s="44" t="str">
        <f>(E$1010)</f>
        <v>E10</v>
      </c>
      <c r="F44" s="45"/>
      <c r="G44" s="21">
        <f>IF($E$1149=1,($L44),IF($E$1149=2,($M44),IF($E$1149=3,($N44),IF($E$1149=4,($O44),IF($E$1149=5,($P44),IF($E$1149=6,($Q44),IF($E$1149=7,($R44),IF($E$1149=8,($S44),0))))))))</f>
        <v>8991347</v>
      </c>
      <c r="H44" s="48">
        <f>IF($G$1010&lt;&gt;0,($G44)*(H$1010/$G$1010),0)</f>
        <v>8594085.4114801865</v>
      </c>
      <c r="I44" s="48">
        <f>IF($G$1010&lt;&gt;0,($G44)*(I$1010/$G$1010),0)</f>
        <v>397261.58851981326</v>
      </c>
      <c r="J44" s="20" t="s">
        <v>486</v>
      </c>
      <c r="L44" s="21">
        <v>8991347</v>
      </c>
      <c r="M44" s="21">
        <v>8991347</v>
      </c>
      <c r="N44" s="21">
        <v>8991347</v>
      </c>
      <c r="O44" s="21">
        <v>8991347</v>
      </c>
      <c r="P44" s="21">
        <v>8991347</v>
      </c>
      <c r="Q44" s="21">
        <v>8991347</v>
      </c>
      <c r="R44" s="21">
        <v>8991347</v>
      </c>
      <c r="S44" s="21">
        <v>8991347</v>
      </c>
    </row>
    <row r="45" spans="1:19" x14ac:dyDescent="0.2">
      <c r="A45" s="13">
        <f t="shared" si="0"/>
        <v>45</v>
      </c>
      <c r="B45" s="4" t="s">
        <v>35</v>
      </c>
      <c r="C45" s="4" t="s">
        <v>37</v>
      </c>
      <c r="D45" s="43"/>
      <c r="E45" s="44"/>
      <c r="F45" s="45"/>
      <c r="G45" s="46">
        <f t="shared" ref="G45:I45" si="15">SUM(G43:G44)</f>
        <v>200841423.81112885</v>
      </c>
      <c r="H45" s="46">
        <f t="shared" si="15"/>
        <v>190831772.28306794</v>
      </c>
      <c r="I45" s="46">
        <f t="shared" si="15"/>
        <v>10009651.528060766</v>
      </c>
      <c r="J45" s="20" t="s">
        <v>486</v>
      </c>
    </row>
    <row r="46" spans="1:19" x14ac:dyDescent="0.2">
      <c r="A46" s="13">
        <f t="shared" si="0"/>
        <v>46</v>
      </c>
      <c r="B46" s="4" t="s">
        <v>5</v>
      </c>
      <c r="C46" s="4" t="s">
        <v>5</v>
      </c>
      <c r="D46" s="43"/>
      <c r="E46" s="44"/>
      <c r="F46" s="45"/>
      <c r="G46" s="46"/>
      <c r="H46" s="46"/>
      <c r="I46" s="46"/>
      <c r="J46" s="20" t="s">
        <v>486</v>
      </c>
      <c r="L46" s="21">
        <v>0</v>
      </c>
    </row>
    <row r="47" spans="1:19" s="51" customFormat="1" x14ac:dyDescent="0.2">
      <c r="A47" s="13">
        <f t="shared" si="0"/>
        <v>47</v>
      </c>
      <c r="B47" s="6" t="s">
        <v>5</v>
      </c>
      <c r="C47" s="6" t="s">
        <v>17</v>
      </c>
      <c r="D47" s="49"/>
      <c r="E47" s="44"/>
      <c r="F47" s="45"/>
      <c r="G47" s="50">
        <f t="shared" ref="G47:I47" si="16">(G45/G24)</f>
        <v>5.6457730248384852E-2</v>
      </c>
      <c r="H47" s="50">
        <f t="shared" si="16"/>
        <v>5.5933686640192007E-2</v>
      </c>
      <c r="I47" s="50">
        <f t="shared" si="16"/>
        <v>6.8735063581597103E-2</v>
      </c>
      <c r="J47" s="20" t="s">
        <v>486</v>
      </c>
      <c r="L47" s="21">
        <v>8.6922676760768203E-2</v>
      </c>
      <c r="M47" s="52"/>
      <c r="N47" s="52"/>
      <c r="O47" s="52"/>
      <c r="P47" s="52"/>
      <c r="Q47" s="52"/>
      <c r="R47" s="52"/>
      <c r="S47" s="52"/>
    </row>
    <row r="48" spans="1:19" x14ac:dyDescent="0.2">
      <c r="A48" s="13">
        <f t="shared" si="0"/>
        <v>48</v>
      </c>
      <c r="B48" s="38" t="str">
        <f>B9</f>
        <v>* * * SUMMARY OF RESULTS * * *</v>
      </c>
      <c r="C48" s="4"/>
      <c r="D48" s="43"/>
      <c r="E48" s="44"/>
      <c r="F48" s="45"/>
      <c r="J48" s="20" t="s">
        <v>486</v>
      </c>
      <c r="L48" s="21">
        <v>0</v>
      </c>
    </row>
    <row r="49" spans="1:12" x14ac:dyDescent="0.2">
      <c r="A49" s="13">
        <f t="shared" si="0"/>
        <v>49</v>
      </c>
      <c r="B49" s="4" t="str">
        <f>" "</f>
        <v xml:space="preserve"> </v>
      </c>
      <c r="C49" s="4"/>
      <c r="D49" s="43"/>
      <c r="E49" s="44"/>
      <c r="F49" s="45"/>
      <c r="J49" s="20" t="s">
        <v>486</v>
      </c>
      <c r="L49" s="21">
        <v>0</v>
      </c>
    </row>
    <row r="50" spans="1:12" x14ac:dyDescent="0.2">
      <c r="A50" s="13">
        <f t="shared" si="0"/>
        <v>50</v>
      </c>
      <c r="B50" s="4" t="s">
        <v>17</v>
      </c>
      <c r="C50" s="4"/>
      <c r="D50" s="43"/>
      <c r="E50" s="53"/>
      <c r="F50" s="54"/>
      <c r="G50" s="12"/>
      <c r="H50" s="12"/>
      <c r="I50" s="12"/>
      <c r="J50" s="20" t="s">
        <v>486</v>
      </c>
      <c r="L50" s="21">
        <v>0</v>
      </c>
    </row>
    <row r="51" spans="1:12" x14ac:dyDescent="0.2">
      <c r="A51" s="13">
        <f t="shared" si="0"/>
        <v>51</v>
      </c>
      <c r="B51" s="4" t="str">
        <f>" "</f>
        <v xml:space="preserve"> </v>
      </c>
      <c r="C51" s="4" t="s">
        <v>38</v>
      </c>
      <c r="D51" s="43"/>
      <c r="E51" s="44"/>
      <c r="F51" s="45"/>
      <c r="G51" s="42">
        <f>SUM(H51:I51)</f>
        <v>3557376871.6441541</v>
      </c>
      <c r="H51" s="42">
        <f t="shared" ref="H51:I51" si="17">(H24)</f>
        <v>3411750301.9359865</v>
      </c>
      <c r="I51" s="42">
        <f t="shared" si="17"/>
        <v>145626569.70816734</v>
      </c>
      <c r="J51" s="20" t="s">
        <v>486</v>
      </c>
      <c r="L51" s="21">
        <v>3589865805.8256922</v>
      </c>
    </row>
    <row r="52" spans="1:12" x14ac:dyDescent="0.2">
      <c r="A52" s="13">
        <f t="shared" si="0"/>
        <v>52</v>
      </c>
      <c r="B52" s="4" t="s">
        <v>35</v>
      </c>
      <c r="C52" s="4" t="s">
        <v>35</v>
      </c>
      <c r="D52" s="43"/>
      <c r="E52" s="44"/>
      <c r="F52" s="45"/>
      <c r="J52" s="20" t="s">
        <v>486</v>
      </c>
      <c r="L52" s="21">
        <v>0</v>
      </c>
    </row>
    <row r="53" spans="1:12" x14ac:dyDescent="0.2">
      <c r="A53" s="13">
        <f t="shared" si="0"/>
        <v>53</v>
      </c>
      <c r="B53" s="4" t="str">
        <f t="shared" ref="B53:B68" si="18">" "</f>
        <v xml:space="preserve"> </v>
      </c>
      <c r="C53" s="4" t="str">
        <f t="shared" ref="C53:C60" si="19">(C28)</f>
        <v xml:space="preserve">  SALES REVENUES</v>
      </c>
      <c r="D53" s="43"/>
      <c r="E53" s="44"/>
      <c r="F53" s="45"/>
      <c r="G53" s="42">
        <f>SUM(H53:I53)</f>
        <v>1089752416.933702</v>
      </c>
      <c r="H53" s="42">
        <f t="shared" ref="H53:I54" si="20">(H28)</f>
        <v>1037484128.7956781</v>
      </c>
      <c r="I53" s="42">
        <f t="shared" si="20"/>
        <v>52268288.138023771</v>
      </c>
      <c r="J53" s="20" t="s">
        <v>486</v>
      </c>
      <c r="L53" s="21">
        <v>1342760944</v>
      </c>
    </row>
    <row r="54" spans="1:12" x14ac:dyDescent="0.2">
      <c r="A54" s="13">
        <f t="shared" si="0"/>
        <v>54</v>
      </c>
      <c r="B54" s="4" t="str">
        <f t="shared" si="18"/>
        <v xml:space="preserve"> </v>
      </c>
      <c r="C54" s="4" t="str">
        <f t="shared" si="19"/>
        <v xml:space="preserve">  OTHER OPERATING REVENUES</v>
      </c>
      <c r="D54" s="43"/>
      <c r="E54" s="44"/>
      <c r="F54" s="45"/>
      <c r="G54" s="42">
        <f>SUM(H54:I54)</f>
        <v>82728976.670000017</v>
      </c>
      <c r="H54" s="42">
        <f t="shared" si="20"/>
        <v>79548785.99515</v>
      </c>
      <c r="I54" s="42">
        <f t="shared" si="20"/>
        <v>3180190.6748500112</v>
      </c>
      <c r="J54" s="20" t="s">
        <v>486</v>
      </c>
      <c r="L54" s="21">
        <v>108687977.31</v>
      </c>
    </row>
    <row r="55" spans="1:12" x14ac:dyDescent="0.2">
      <c r="A55" s="13">
        <f t="shared" si="0"/>
        <v>55</v>
      </c>
      <c r="B55" s="4" t="str">
        <f t="shared" si="18"/>
        <v xml:space="preserve"> </v>
      </c>
      <c r="C55" s="4" t="str">
        <f t="shared" si="19"/>
        <v xml:space="preserve">  TOTAL OPERATING REVENUES</v>
      </c>
      <c r="D55" s="43"/>
      <c r="E55" s="44"/>
      <c r="F55" s="45"/>
      <c r="G55" s="46">
        <f t="shared" ref="G55:I55" si="21">SUM(G53+G54)</f>
        <v>1172481393.6037021</v>
      </c>
      <c r="H55" s="46">
        <f t="shared" si="21"/>
        <v>1117032914.7908282</v>
      </c>
      <c r="I55" s="46">
        <f t="shared" si="21"/>
        <v>55448478.812873781</v>
      </c>
      <c r="J55" s="20" t="s">
        <v>486</v>
      </c>
      <c r="L55" s="21">
        <v>1451448921.3099999</v>
      </c>
    </row>
    <row r="56" spans="1:12" x14ac:dyDescent="0.2">
      <c r="A56" s="13">
        <f t="shared" si="0"/>
        <v>56</v>
      </c>
      <c r="B56" s="4" t="str">
        <f t="shared" si="18"/>
        <v xml:space="preserve"> </v>
      </c>
      <c r="C56" s="4" t="str">
        <f t="shared" si="19"/>
        <v>OPERATING EXPENSES</v>
      </c>
      <c r="D56" s="43"/>
      <c r="E56" s="44"/>
      <c r="F56" s="45"/>
      <c r="J56" s="20" t="s">
        <v>486</v>
      </c>
      <c r="L56" s="21">
        <v>0</v>
      </c>
    </row>
    <row r="57" spans="1:12" x14ac:dyDescent="0.2">
      <c r="A57" s="13">
        <f t="shared" si="0"/>
        <v>57</v>
      </c>
      <c r="B57" s="4" t="str">
        <f t="shared" si="18"/>
        <v xml:space="preserve"> </v>
      </c>
      <c r="C57" s="4" t="str">
        <f t="shared" si="19"/>
        <v xml:space="preserve"> OPERATION &amp; MAINTENANCE EXPENSES</v>
      </c>
      <c r="D57" s="43"/>
      <c r="E57" s="44"/>
      <c r="F57" s="45"/>
      <c r="G57" s="42">
        <f t="shared" ref="G57:G62" si="22">SUM(H57:I57)</f>
        <v>783001496.63308632</v>
      </c>
      <c r="H57" s="42">
        <f t="shared" ref="H57:I66" si="23">(H32)</f>
        <v>746817824.95303774</v>
      </c>
      <c r="I57" s="42">
        <f t="shared" si="23"/>
        <v>36183671.680048637</v>
      </c>
      <c r="J57" s="20" t="s">
        <v>486</v>
      </c>
      <c r="L57" s="21">
        <v>917515190.49000001</v>
      </c>
    </row>
    <row r="58" spans="1:12" x14ac:dyDescent="0.2">
      <c r="A58" s="13">
        <f t="shared" si="0"/>
        <v>58</v>
      </c>
      <c r="B58" s="4" t="str">
        <f t="shared" si="18"/>
        <v xml:space="preserve"> </v>
      </c>
      <c r="C58" s="4" t="str">
        <f t="shared" si="19"/>
        <v xml:space="preserve"> DEPRECIATION EXPENSE</v>
      </c>
      <c r="D58" s="43"/>
      <c r="E58" s="44"/>
      <c r="F58" s="45"/>
      <c r="G58" s="42">
        <f t="shared" si="22"/>
        <v>148669180.34000006</v>
      </c>
      <c r="H58" s="42">
        <f t="shared" si="23"/>
        <v>142563777.40413702</v>
      </c>
      <c r="I58" s="42">
        <f t="shared" si="23"/>
        <v>6105402.9358630348</v>
      </c>
      <c r="J58" s="20" t="s">
        <v>486</v>
      </c>
      <c r="L58" s="21">
        <v>146549742.00999999</v>
      </c>
    </row>
    <row r="59" spans="1:12" x14ac:dyDescent="0.2">
      <c r="A59" s="13">
        <f t="shared" si="0"/>
        <v>59</v>
      </c>
      <c r="B59" s="4" t="str">
        <f t="shared" si="18"/>
        <v xml:space="preserve"> </v>
      </c>
      <c r="C59" s="4" t="str">
        <f t="shared" si="19"/>
        <v xml:space="preserve"> AMORTIZATION OF LIMITED TERM PLANT</v>
      </c>
      <c r="D59" s="43"/>
      <c r="E59" s="44"/>
      <c r="F59" s="45"/>
      <c r="G59" s="42">
        <f t="shared" si="22"/>
        <v>9187906.3199999984</v>
      </c>
      <c r="H59" s="42">
        <f t="shared" si="23"/>
        <v>8817198.6195093133</v>
      </c>
      <c r="I59" s="42">
        <f t="shared" si="23"/>
        <v>370707.70049068518</v>
      </c>
      <c r="J59" s="20" t="s">
        <v>486</v>
      </c>
      <c r="L59" s="21">
        <v>8495467.2400000002</v>
      </c>
    </row>
    <row r="60" spans="1:12" x14ac:dyDescent="0.2">
      <c r="A60" s="13">
        <f t="shared" si="0"/>
        <v>60</v>
      </c>
      <c r="B60" s="4"/>
      <c r="C60" s="4" t="str">
        <f t="shared" si="19"/>
        <v xml:space="preserve"> ACCRETION EXPENSE</v>
      </c>
      <c r="D60" s="43"/>
      <c r="E60" s="44"/>
      <c r="F60" s="45"/>
      <c r="G60" s="42">
        <f t="shared" si="22"/>
        <v>56782.84</v>
      </c>
      <c r="H60" s="42">
        <f t="shared" si="23"/>
        <v>54556.95</v>
      </c>
      <c r="I60" s="42">
        <f t="shared" si="23"/>
        <v>2225.89</v>
      </c>
      <c r="J60" s="20" t="s">
        <v>486</v>
      </c>
      <c r="L60" s="21">
        <v>56782.84</v>
      </c>
    </row>
    <row r="61" spans="1:12" x14ac:dyDescent="0.2">
      <c r="A61" s="13">
        <f t="shared" si="0"/>
        <v>61</v>
      </c>
      <c r="B61" s="4" t="str">
        <f t="shared" si="18"/>
        <v xml:space="preserve"> </v>
      </c>
      <c r="C61" s="4" t="str">
        <f>(C36)</f>
        <v xml:space="preserve"> TAXES OTHER THAN INCOME</v>
      </c>
      <c r="D61" s="43"/>
      <c r="E61" s="44"/>
      <c r="F61" s="45"/>
      <c r="G61" s="42">
        <f t="shared" si="22"/>
        <v>31768584.580000002</v>
      </c>
      <c r="H61" s="42">
        <f t="shared" si="23"/>
        <v>29549207.926588491</v>
      </c>
      <c r="I61" s="42">
        <f t="shared" si="23"/>
        <v>2219376.6534115127</v>
      </c>
      <c r="J61" s="20" t="s">
        <v>486</v>
      </c>
      <c r="L61" s="21">
        <v>30947259.830000002</v>
      </c>
    </row>
    <row r="62" spans="1:12" x14ac:dyDescent="0.2">
      <c r="A62" s="13">
        <f t="shared" si="0"/>
        <v>62</v>
      </c>
      <c r="B62" s="4" t="str">
        <f t="shared" si="18"/>
        <v xml:space="preserve"> </v>
      </c>
      <c r="C62" s="4" t="str">
        <f>(C37)</f>
        <v xml:space="preserve"> REGULATORY DEBITS/CREDITS</v>
      </c>
      <c r="D62" s="43"/>
      <c r="E62" s="44"/>
      <c r="F62" s="45"/>
      <c r="G62" s="42">
        <f t="shared" si="22"/>
        <v>1497775</v>
      </c>
      <c r="H62" s="42">
        <f t="shared" si="23"/>
        <v>1219115</v>
      </c>
      <c r="I62" s="42">
        <f t="shared" si="23"/>
        <v>278660</v>
      </c>
      <c r="J62" s="20" t="s">
        <v>486</v>
      </c>
      <c r="L62" s="21">
        <v>-21706311.810000002</v>
      </c>
    </row>
    <row r="63" spans="1:12" x14ac:dyDescent="0.2">
      <c r="A63" s="13">
        <f t="shared" si="0"/>
        <v>63</v>
      </c>
      <c r="B63" s="4" t="str">
        <f t="shared" si="18"/>
        <v xml:space="preserve"> </v>
      </c>
      <c r="C63" s="4" t="str">
        <f t="shared" ref="C63:C68" si="24">(C38)</f>
        <v xml:space="preserve"> PROVISION FOR DEFERRED INCOME TAXES</v>
      </c>
      <c r="D63" s="43"/>
      <c r="E63" s="44"/>
      <c r="F63" s="45"/>
      <c r="G63" s="42">
        <f>G38</f>
        <v>-8082044.9100000011</v>
      </c>
      <c r="H63" s="42">
        <f t="shared" si="23"/>
        <v>-7796337.2187025947</v>
      </c>
      <c r="I63" s="42">
        <f t="shared" si="23"/>
        <v>-285707.69129740587</v>
      </c>
      <c r="J63" s="20" t="s">
        <v>486</v>
      </c>
      <c r="L63" s="21">
        <v>-21706311.810000002</v>
      </c>
    </row>
    <row r="64" spans="1:12" x14ac:dyDescent="0.2">
      <c r="A64" s="13">
        <f t="shared" si="0"/>
        <v>64</v>
      </c>
      <c r="B64" s="4" t="str">
        <f t="shared" si="18"/>
        <v xml:space="preserve"> </v>
      </c>
      <c r="C64" s="4" t="str">
        <f t="shared" si="24"/>
        <v xml:space="preserve"> INVESTMENT TAX CREDIT ADJUSTMENT</v>
      </c>
      <c r="D64" s="43"/>
      <c r="E64" s="44"/>
      <c r="F64" s="45"/>
      <c r="G64" s="42">
        <f>G39</f>
        <v>11502847</v>
      </c>
      <c r="H64" s="42">
        <f t="shared" si="23"/>
        <v>11033772.714170994</v>
      </c>
      <c r="I64" s="42">
        <f t="shared" si="23"/>
        <v>469074.28582900483</v>
      </c>
      <c r="J64" s="20" t="s">
        <v>486</v>
      </c>
      <c r="L64" s="21">
        <v>11832897</v>
      </c>
    </row>
    <row r="65" spans="1:19" x14ac:dyDescent="0.2">
      <c r="A65" s="13">
        <f t="shared" si="0"/>
        <v>65</v>
      </c>
      <c r="B65" s="4" t="str">
        <f t="shared" si="18"/>
        <v xml:space="preserve"> </v>
      </c>
      <c r="C65" s="4" t="str">
        <f t="shared" si="24"/>
        <v xml:space="preserve"> FEDERAL INCOME TAXES</v>
      </c>
      <c r="D65" s="43"/>
      <c r="E65" s="44"/>
      <c r="F65" s="45"/>
      <c r="G65" s="42">
        <f>SUM(H65:I65)</f>
        <v>4948472.5408063969</v>
      </c>
      <c r="H65" s="42">
        <f t="shared" si="23"/>
        <v>4538977.4670740031</v>
      </c>
      <c r="I65" s="42">
        <f t="shared" si="23"/>
        <v>409495.07373239344</v>
      </c>
      <c r="J65" s="20" t="s">
        <v>486</v>
      </c>
      <c r="L65" s="21">
        <v>38777947.055579059</v>
      </c>
    </row>
    <row r="66" spans="1:19" x14ac:dyDescent="0.2">
      <c r="A66" s="13">
        <f t="shared" si="0"/>
        <v>66</v>
      </c>
      <c r="B66" s="4" t="str">
        <f t="shared" si="18"/>
        <v xml:space="preserve"> </v>
      </c>
      <c r="C66" s="4" t="str">
        <f t="shared" si="24"/>
        <v xml:space="preserve"> STATE INCOME TAXES</v>
      </c>
      <c r="D66" s="43"/>
      <c r="E66" s="44"/>
      <c r="F66" s="45"/>
      <c r="G66" s="42">
        <f>SUM(H66:I66)</f>
        <v>-1919683.5513197444</v>
      </c>
      <c r="H66" s="42">
        <f t="shared" si="23"/>
        <v>-2002865.89657471</v>
      </c>
      <c r="I66" s="42">
        <f t="shared" si="23"/>
        <v>83182.34525496565</v>
      </c>
      <c r="J66" s="20" t="s">
        <v>486</v>
      </c>
      <c r="L66" s="21">
        <v>14432773.600099564</v>
      </c>
    </row>
    <row r="67" spans="1:19" x14ac:dyDescent="0.2">
      <c r="A67" s="13">
        <f t="shared" ref="A67:A130" si="25">A66+1</f>
        <v>67</v>
      </c>
      <c r="B67" s="4" t="str">
        <f t="shared" si="18"/>
        <v xml:space="preserve"> </v>
      </c>
      <c r="C67" s="4" t="str">
        <f t="shared" si="24"/>
        <v>TOTAL OPERATING EXPENSES</v>
      </c>
      <c r="D67" s="43"/>
      <c r="E67" s="44"/>
      <c r="F67" s="45"/>
      <c r="G67" s="46">
        <f t="shared" ref="G67:I67" si="26">SUM(G57:G66)</f>
        <v>980631316.79257321</v>
      </c>
      <c r="H67" s="46">
        <f t="shared" si="26"/>
        <v>934795227.91924047</v>
      </c>
      <c r="I67" s="46">
        <f t="shared" si="26"/>
        <v>45836088.873332828</v>
      </c>
      <c r="J67" s="20" t="s">
        <v>486</v>
      </c>
      <c r="L67" s="21">
        <v>1148399523.2556787</v>
      </c>
    </row>
    <row r="68" spans="1:19" x14ac:dyDescent="0.2">
      <c r="A68" s="13">
        <f t="shared" si="25"/>
        <v>68</v>
      </c>
      <c r="B68" s="4" t="str">
        <f t="shared" si="18"/>
        <v xml:space="preserve"> </v>
      </c>
      <c r="C68" s="4" t="str">
        <f t="shared" si="24"/>
        <v>OPERATING INCOME</v>
      </c>
      <c r="D68" s="43"/>
      <c r="E68" s="44"/>
      <c r="F68" s="45"/>
      <c r="G68" s="46">
        <f t="shared" ref="G68:I68" si="27">SUM(G55-G67)</f>
        <v>191850076.81112885</v>
      </c>
      <c r="H68" s="46">
        <f t="shared" si="27"/>
        <v>182237686.87158775</v>
      </c>
      <c r="I68" s="46">
        <f t="shared" si="27"/>
        <v>9612389.9395409524</v>
      </c>
      <c r="J68" s="20" t="s">
        <v>486</v>
      </c>
      <c r="L68" s="21">
        <v>303049398.05432129</v>
      </c>
    </row>
    <row r="69" spans="1:19" x14ac:dyDescent="0.2">
      <c r="A69" s="13">
        <f t="shared" si="25"/>
        <v>69</v>
      </c>
      <c r="B69" s="4" t="s">
        <v>35</v>
      </c>
      <c r="C69" s="4" t="s">
        <v>36</v>
      </c>
      <c r="D69" s="43"/>
      <c r="E69" s="53"/>
      <c r="F69" s="54"/>
      <c r="G69" s="42">
        <f t="shared" ref="G69:I69" si="28">(G44)</f>
        <v>8991347</v>
      </c>
      <c r="H69" s="42">
        <f t="shared" si="28"/>
        <v>8594085.4114801865</v>
      </c>
      <c r="I69" s="42">
        <f t="shared" si="28"/>
        <v>397261.58851981326</v>
      </c>
      <c r="J69" s="20" t="s">
        <v>486</v>
      </c>
      <c r="L69" s="21">
        <v>8991347</v>
      </c>
    </row>
    <row r="70" spans="1:19" x14ac:dyDescent="0.2">
      <c r="A70" s="13">
        <f t="shared" si="25"/>
        <v>70</v>
      </c>
      <c r="B70" s="4" t="str">
        <f>" "</f>
        <v xml:space="preserve"> </v>
      </c>
      <c r="C70" s="4" t="str">
        <f>"    CONSOLIDATED OPERATING INCOME"</f>
        <v xml:space="preserve">    CONSOLIDATED OPERATING INCOME</v>
      </c>
      <c r="D70" s="43"/>
      <c r="E70" s="44"/>
      <c r="F70" s="45"/>
      <c r="G70" s="46">
        <f t="shared" ref="G70:I70" si="29">(G68+G69)</f>
        <v>200841423.81112885</v>
      </c>
      <c r="H70" s="46">
        <f t="shared" si="29"/>
        <v>190831772.28306794</v>
      </c>
      <c r="I70" s="46">
        <f t="shared" si="29"/>
        <v>10009651.528060766</v>
      </c>
      <c r="J70" s="20" t="s">
        <v>486</v>
      </c>
      <c r="L70" s="21">
        <v>312040745.05432129</v>
      </c>
    </row>
    <row r="71" spans="1:19" s="51" customFormat="1" x14ac:dyDescent="0.2">
      <c r="A71" s="13">
        <f t="shared" si="25"/>
        <v>71</v>
      </c>
      <c r="B71" s="4" t="str">
        <f>" "</f>
        <v xml:space="preserve"> </v>
      </c>
      <c r="C71" s="4" t="str">
        <f>(C47)</f>
        <v>RATE OF RETURN UNDER PRESENT RATES</v>
      </c>
      <c r="D71" s="49"/>
      <c r="E71" s="44"/>
      <c r="F71" s="45"/>
      <c r="G71" s="50">
        <f t="shared" ref="G71:I71" si="30">(G70/G51)</f>
        <v>5.6457730248384859E-2</v>
      </c>
      <c r="H71" s="50">
        <f t="shared" si="30"/>
        <v>5.5933686640192007E-2</v>
      </c>
      <c r="I71" s="50">
        <f t="shared" si="30"/>
        <v>6.8735063581597103E-2</v>
      </c>
      <c r="J71" s="20" t="s">
        <v>486</v>
      </c>
      <c r="L71" s="21">
        <v>8.6922676760768203E-2</v>
      </c>
      <c r="M71" s="52"/>
      <c r="N71" s="52"/>
      <c r="O71" s="52"/>
      <c r="P71" s="52"/>
      <c r="Q71" s="52"/>
      <c r="R71" s="52"/>
      <c r="S71" s="52"/>
    </row>
    <row r="72" spans="1:19" x14ac:dyDescent="0.2">
      <c r="A72" s="13">
        <f t="shared" si="25"/>
        <v>72</v>
      </c>
      <c r="B72" s="4" t="str">
        <f>" "</f>
        <v xml:space="preserve"> </v>
      </c>
      <c r="C72" s="4" t="s">
        <v>39</v>
      </c>
      <c r="D72" s="43"/>
      <c r="E72" s="44"/>
      <c r="F72" s="45"/>
      <c r="J72" s="20" t="s">
        <v>486</v>
      </c>
      <c r="L72" s="21">
        <v>0</v>
      </c>
    </row>
    <row r="73" spans="1:19" x14ac:dyDescent="0.2">
      <c r="A73" s="13">
        <f t="shared" si="25"/>
        <v>73</v>
      </c>
      <c r="B73" s="4" t="s">
        <v>40</v>
      </c>
      <c r="C73" s="4"/>
      <c r="D73" s="43"/>
      <c r="E73" s="44"/>
      <c r="F73" s="45"/>
      <c r="J73" s="20" t="s">
        <v>486</v>
      </c>
      <c r="L73" s="21">
        <v>0</v>
      </c>
    </row>
    <row r="74" spans="1:19" s="51" customFormat="1" x14ac:dyDescent="0.2">
      <c r="A74" s="13">
        <f t="shared" si="25"/>
        <v>74</v>
      </c>
      <c r="B74" s="4" t="str">
        <f t="shared" ref="B74:B89" si="31">" "</f>
        <v xml:space="preserve"> </v>
      </c>
      <c r="C74" s="4" t="s">
        <v>41</v>
      </c>
      <c r="D74" s="49"/>
      <c r="E74" s="44"/>
      <c r="F74" s="45"/>
      <c r="G74" s="51">
        <v>7.8630627199999997E-2</v>
      </c>
      <c r="H74" s="51">
        <f t="shared" ref="H74:I74" si="32">$G$74</f>
        <v>7.8630627199999997E-2</v>
      </c>
      <c r="I74" s="51">
        <f t="shared" si="32"/>
        <v>7.8630627199999997E-2</v>
      </c>
      <c r="J74" s="20" t="s">
        <v>486</v>
      </c>
      <c r="L74" s="21">
        <v>0</v>
      </c>
      <c r="M74" s="52"/>
      <c r="N74" s="52"/>
      <c r="O74" s="52"/>
      <c r="P74" s="52"/>
      <c r="Q74" s="52"/>
      <c r="R74" s="52"/>
      <c r="S74" s="52"/>
    </row>
    <row r="75" spans="1:19" x14ac:dyDescent="0.2">
      <c r="A75" s="13">
        <f t="shared" si="25"/>
        <v>75</v>
      </c>
      <c r="B75" s="4" t="str">
        <f t="shared" si="31"/>
        <v xml:space="preserve"> </v>
      </c>
      <c r="C75" s="4" t="s">
        <v>39</v>
      </c>
      <c r="D75" s="43"/>
      <c r="E75" s="44"/>
      <c r="F75" s="45"/>
      <c r="J75" s="20" t="s">
        <v>486</v>
      </c>
      <c r="L75" s="21">
        <v>0</v>
      </c>
    </row>
    <row r="76" spans="1:19" x14ac:dyDescent="0.2">
      <c r="A76" s="13">
        <f t="shared" si="25"/>
        <v>76</v>
      </c>
      <c r="B76" s="4" t="str">
        <f t="shared" si="31"/>
        <v xml:space="preserve"> </v>
      </c>
      <c r="C76" s="4" t="s">
        <v>42</v>
      </c>
      <c r="D76" s="43"/>
      <c r="E76" s="44"/>
      <c r="F76" s="45"/>
      <c r="G76" s="46">
        <f>SUM(H76:I76)</f>
        <v>279718774.60415369</v>
      </c>
      <c r="H76" s="46">
        <f t="shared" ref="H76:I76" si="33">(H74*H51)</f>
        <v>268268066.09101599</v>
      </c>
      <c r="I76" s="46">
        <f t="shared" si="33"/>
        <v>11450708.513137719</v>
      </c>
      <c r="J76" s="20" t="s">
        <v>486</v>
      </c>
      <c r="L76" s="21">
        <v>0</v>
      </c>
    </row>
    <row r="77" spans="1:19" x14ac:dyDescent="0.2">
      <c r="A77" s="13">
        <f t="shared" si="25"/>
        <v>77</v>
      </c>
      <c r="B77" s="4" t="str">
        <f t="shared" si="31"/>
        <v xml:space="preserve"> </v>
      </c>
      <c r="C77" s="4" t="s">
        <v>43</v>
      </c>
      <c r="D77" s="43"/>
      <c r="E77" s="44"/>
      <c r="F77" s="45"/>
      <c r="G77" s="46">
        <f>SUM(H77:I77)</f>
        <v>78877350.793025002</v>
      </c>
      <c r="H77" s="46">
        <f t="shared" ref="H77:I77" si="34">(H76-H70)</f>
        <v>77436293.807948053</v>
      </c>
      <c r="I77" s="46">
        <f t="shared" si="34"/>
        <v>1441056.9850769527</v>
      </c>
      <c r="J77" s="20" t="s">
        <v>486</v>
      </c>
      <c r="L77" s="21">
        <v>0</v>
      </c>
    </row>
    <row r="78" spans="1:19" x14ac:dyDescent="0.2">
      <c r="A78" s="13">
        <f t="shared" si="25"/>
        <v>78</v>
      </c>
      <c r="B78" s="4"/>
      <c r="C78" s="7" t="s">
        <v>44</v>
      </c>
      <c r="D78" s="43"/>
      <c r="E78" s="44"/>
      <c r="F78" s="45"/>
      <c r="G78" s="46">
        <v>6815472</v>
      </c>
      <c r="H78" s="46">
        <v>6520122</v>
      </c>
      <c r="I78" s="46">
        <f>G78-H78</f>
        <v>295350</v>
      </c>
      <c r="J78" s="20" t="s">
        <v>486</v>
      </c>
      <c r="L78" s="21">
        <v>0</v>
      </c>
    </row>
    <row r="79" spans="1:19" x14ac:dyDescent="0.2">
      <c r="A79" s="13">
        <f t="shared" si="25"/>
        <v>79</v>
      </c>
      <c r="B79" s="4"/>
      <c r="C79" s="3" t="s">
        <v>45</v>
      </c>
      <c r="D79" s="43"/>
      <c r="E79" s="44"/>
      <c r="F79" s="45"/>
      <c r="G79" s="46">
        <f>SUM(G77:G78)</f>
        <v>85692822.793025002</v>
      </c>
      <c r="H79" s="46">
        <f t="shared" ref="H79:I79" si="35">SUM(H77:H78)</f>
        <v>83956415.807948053</v>
      </c>
      <c r="I79" s="46">
        <f t="shared" si="35"/>
        <v>1736406.9850769527</v>
      </c>
      <c r="J79" s="20" t="s">
        <v>486</v>
      </c>
      <c r="L79" s="21">
        <v>0</v>
      </c>
    </row>
    <row r="80" spans="1:19" x14ac:dyDescent="0.2">
      <c r="A80" s="13">
        <f t="shared" si="25"/>
        <v>80</v>
      </c>
      <c r="B80" s="4"/>
      <c r="C80" s="4"/>
      <c r="D80" s="43"/>
      <c r="E80" s="44"/>
      <c r="F80" s="45"/>
      <c r="G80" s="46"/>
      <c r="H80" s="46"/>
      <c r="I80" s="46"/>
    </row>
    <row r="81" spans="1:19" s="57" customFormat="1" x14ac:dyDescent="0.2">
      <c r="A81" s="13">
        <f t="shared" si="25"/>
        <v>81</v>
      </c>
      <c r="B81" s="4" t="str">
        <f t="shared" si="31"/>
        <v xml:space="preserve"> </v>
      </c>
      <c r="C81" s="4" t="s">
        <v>46</v>
      </c>
      <c r="D81" s="55"/>
      <c r="E81" s="44"/>
      <c r="F81" s="45"/>
      <c r="G81" s="56">
        <f>(G83/G79)</f>
        <v>1.347</v>
      </c>
      <c r="H81" s="56">
        <f>(H1051)</f>
        <v>1.347</v>
      </c>
      <c r="I81" s="56">
        <f>(I1051)</f>
        <v>1.347</v>
      </c>
      <c r="J81" s="20" t="s">
        <v>486</v>
      </c>
      <c r="L81" s="21">
        <v>0</v>
      </c>
      <c r="M81" s="58"/>
      <c r="N81" s="58"/>
      <c r="O81" s="58"/>
      <c r="P81" s="58"/>
      <c r="Q81" s="58"/>
      <c r="R81" s="58"/>
      <c r="S81" s="58"/>
    </row>
    <row r="82" spans="1:19" x14ac:dyDescent="0.2">
      <c r="A82" s="13">
        <f t="shared" si="25"/>
        <v>82</v>
      </c>
      <c r="B82" s="4" t="str">
        <f t="shared" si="31"/>
        <v xml:space="preserve"> </v>
      </c>
      <c r="C82" s="4" t="s">
        <v>39</v>
      </c>
      <c r="D82" s="43"/>
      <c r="E82" s="44"/>
      <c r="F82" s="45"/>
      <c r="G82" s="46"/>
      <c r="H82" s="46"/>
      <c r="I82" s="46"/>
      <c r="J82" s="20" t="s">
        <v>486</v>
      </c>
      <c r="L82" s="21">
        <v>0</v>
      </c>
    </row>
    <row r="83" spans="1:19" x14ac:dyDescent="0.2">
      <c r="A83" s="13">
        <f t="shared" si="25"/>
        <v>83</v>
      </c>
      <c r="B83" s="4" t="str">
        <f t="shared" si="31"/>
        <v xml:space="preserve"> </v>
      </c>
      <c r="C83" s="4" t="s">
        <v>47</v>
      </c>
      <c r="D83" s="43"/>
      <c r="E83" s="44"/>
      <c r="F83" s="45"/>
      <c r="G83" s="46">
        <f>SUM(H83:I83)</f>
        <v>115428232.30220467</v>
      </c>
      <c r="H83" s="46">
        <f>(H79*H81)</f>
        <v>113089292.09330602</v>
      </c>
      <c r="I83" s="46">
        <f>(I79*I81)</f>
        <v>2338940.2088986551</v>
      </c>
      <c r="J83" s="20" t="s">
        <v>486</v>
      </c>
      <c r="L83" s="21">
        <v>0</v>
      </c>
    </row>
    <row r="84" spans="1:19" x14ac:dyDescent="0.2">
      <c r="A84" s="13">
        <f t="shared" si="25"/>
        <v>84</v>
      </c>
      <c r="B84" s="4" t="str">
        <f t="shared" si="31"/>
        <v xml:space="preserve"> </v>
      </c>
      <c r="C84" s="4" t="s">
        <v>39</v>
      </c>
      <c r="D84" s="43"/>
      <c r="E84" s="44"/>
      <c r="F84" s="45"/>
      <c r="G84" s="46"/>
      <c r="H84" s="46"/>
      <c r="I84" s="46"/>
      <c r="J84" s="20" t="s">
        <v>486</v>
      </c>
      <c r="L84" s="21">
        <v>0</v>
      </c>
    </row>
    <row r="85" spans="1:19" x14ac:dyDescent="0.2">
      <c r="A85" s="13">
        <f t="shared" si="25"/>
        <v>85</v>
      </c>
      <c r="B85" s="4" t="str">
        <f t="shared" si="31"/>
        <v xml:space="preserve"> </v>
      </c>
      <c r="C85" s="4" t="s">
        <v>48</v>
      </c>
      <c r="D85" s="43"/>
      <c r="E85" s="44"/>
      <c r="F85" s="45"/>
      <c r="G85" s="46">
        <f>SUM(H85:I85)</f>
        <v>1099619600.9337018</v>
      </c>
      <c r="H85" s="46">
        <f>(H334+H336+H362)</f>
        <v>1046958065.8828851</v>
      </c>
      <c r="I85" s="46">
        <f>(I334+I336+I362)</f>
        <v>52661535.050816767</v>
      </c>
      <c r="J85" s="20" t="s">
        <v>486</v>
      </c>
      <c r="L85" s="21">
        <v>0</v>
      </c>
    </row>
    <row r="86" spans="1:19" x14ac:dyDescent="0.2">
      <c r="A86" s="13">
        <f t="shared" si="25"/>
        <v>86</v>
      </c>
      <c r="B86" s="4" t="str">
        <f t="shared" si="31"/>
        <v xml:space="preserve"> </v>
      </c>
      <c r="C86" s="4" t="s">
        <v>39</v>
      </c>
      <c r="D86" s="43"/>
      <c r="E86" s="44"/>
      <c r="F86" s="45"/>
      <c r="G86" s="46"/>
      <c r="H86" s="46"/>
      <c r="I86" s="46"/>
      <c r="J86" s="20" t="s">
        <v>486</v>
      </c>
      <c r="L86" s="21">
        <v>0</v>
      </c>
    </row>
    <row r="87" spans="1:19" s="61" customFormat="1" x14ac:dyDescent="0.2">
      <c r="A87" s="13">
        <f t="shared" si="25"/>
        <v>87</v>
      </c>
      <c r="B87" s="4" t="str">
        <f t="shared" si="31"/>
        <v xml:space="preserve"> </v>
      </c>
      <c r="C87" s="4" t="s">
        <v>49</v>
      </c>
      <c r="D87" s="59"/>
      <c r="E87" s="44"/>
      <c r="F87" s="45"/>
      <c r="G87" s="60">
        <f t="shared" ref="G87:I87" si="36">(G83/G85)</f>
        <v>0.10497105744949708</v>
      </c>
      <c r="H87" s="60">
        <f t="shared" si="36"/>
        <v>0.10801702167310723</v>
      </c>
      <c r="I87" s="60">
        <f t="shared" si="36"/>
        <v>4.4414584699091084E-2</v>
      </c>
      <c r="J87" s="20" t="s">
        <v>486</v>
      </c>
      <c r="L87" s="21">
        <v>0</v>
      </c>
      <c r="M87" s="62"/>
      <c r="N87" s="62"/>
      <c r="O87" s="62"/>
      <c r="P87" s="62"/>
      <c r="Q87" s="62"/>
      <c r="R87" s="62"/>
      <c r="S87" s="62"/>
    </row>
    <row r="88" spans="1:19" x14ac:dyDescent="0.2">
      <c r="A88" s="13">
        <f t="shared" si="25"/>
        <v>88</v>
      </c>
      <c r="B88" s="4" t="str">
        <f t="shared" si="31"/>
        <v xml:space="preserve"> </v>
      </c>
      <c r="C88" s="4" t="s">
        <v>39</v>
      </c>
      <c r="D88" s="43"/>
      <c r="E88" s="44"/>
      <c r="F88" s="45"/>
      <c r="G88" s="46"/>
      <c r="H88" s="46"/>
      <c r="I88" s="46"/>
      <c r="J88" s="20" t="s">
        <v>486</v>
      </c>
      <c r="L88" s="21">
        <v>0</v>
      </c>
    </row>
    <row r="89" spans="1:19" x14ac:dyDescent="0.2">
      <c r="A89" s="13">
        <f t="shared" si="25"/>
        <v>89</v>
      </c>
      <c r="B89" s="4" t="str">
        <f t="shared" si="31"/>
        <v xml:space="preserve"> </v>
      </c>
      <c r="C89" s="4" t="s">
        <v>50</v>
      </c>
      <c r="D89" s="43"/>
      <c r="E89" s="44"/>
      <c r="F89" s="45"/>
      <c r="G89" s="46">
        <f>SUM(H89:I89)</f>
        <v>1215047833.2359064</v>
      </c>
      <c r="H89" s="46">
        <f t="shared" ref="H89:I89" si="37">(H85+H83)</f>
        <v>1160047357.976191</v>
      </c>
      <c r="I89" s="46">
        <f t="shared" si="37"/>
        <v>55000475.259715423</v>
      </c>
      <c r="J89" s="20" t="s">
        <v>486</v>
      </c>
      <c r="L89" s="21">
        <v>0</v>
      </c>
    </row>
    <row r="90" spans="1:19" x14ac:dyDescent="0.2">
      <c r="A90" s="13">
        <f t="shared" si="25"/>
        <v>90</v>
      </c>
      <c r="B90" s="38" t="str">
        <f>"* * * TABLE 1 - ELECTRIC PLANT IN SERVICE * * *"</f>
        <v>* * * TABLE 1 - ELECTRIC PLANT IN SERVICE * * *</v>
      </c>
      <c r="C90" s="4"/>
      <c r="D90" s="43"/>
      <c r="E90" s="44"/>
      <c r="F90" s="45"/>
      <c r="L90" s="21">
        <v>0</v>
      </c>
    </row>
    <row r="91" spans="1:19" x14ac:dyDescent="0.2">
      <c r="A91" s="13">
        <f t="shared" si="25"/>
        <v>91</v>
      </c>
      <c r="B91" s="4" t="str">
        <f>" "</f>
        <v xml:space="preserve"> </v>
      </c>
      <c r="C91" s="4"/>
      <c r="D91" s="43"/>
      <c r="E91" s="44"/>
      <c r="F91" s="45"/>
      <c r="L91" s="21">
        <v>0</v>
      </c>
    </row>
    <row r="92" spans="1:19" x14ac:dyDescent="0.2">
      <c r="A92" s="13">
        <f t="shared" si="25"/>
        <v>92</v>
      </c>
      <c r="B92" s="4" t="s">
        <v>51</v>
      </c>
      <c r="C92" s="4"/>
      <c r="D92" s="43"/>
      <c r="E92" s="44"/>
      <c r="F92" s="45"/>
      <c r="L92" s="21">
        <v>0</v>
      </c>
    </row>
    <row r="93" spans="1:19" x14ac:dyDescent="0.2">
      <c r="A93" s="13">
        <f t="shared" si="25"/>
        <v>93</v>
      </c>
      <c r="B93" s="4" t="s">
        <v>52</v>
      </c>
      <c r="C93" s="4"/>
      <c r="D93" s="43" t="s">
        <v>5</v>
      </c>
      <c r="E93" s="44" t="str">
        <f>(E$1059)</f>
        <v>P101P</v>
      </c>
      <c r="F93" s="45"/>
      <c r="G93" s="21">
        <f>IF($E$1149=1,($L93),IF($E$1149=2,($M93),IF($E$1149=3,($N93),IF($E$1149=4,($O93),IF($E$1149=5,($P93),IF($E$1149=6,($Q93),IF($E$1149=7,($R93),IF($E$1149=8,($S93),0))))))))</f>
        <v>5703.01</v>
      </c>
      <c r="H93" s="48">
        <f>IF($G$1059&lt;&gt;0,($G93)*(H$1059/$G$1059),0)</f>
        <v>5470.4471098889107</v>
      </c>
      <c r="I93" s="48">
        <f>IF($G$1059&lt;&gt;0,($G93)*(I$1059/$G$1059),0)</f>
        <v>232.56289011108927</v>
      </c>
      <c r="J93" s="20">
        <f>IF($E$1149=1,($G93),IF($E$1149=2,($G93),IF($E$1149=3,0,IF($E$1149=4,($H93),IF($E$1149=5,($I93),0)))))</f>
        <v>0</v>
      </c>
      <c r="L93" s="21">
        <v>5703.01</v>
      </c>
      <c r="M93" s="21">
        <v>5703.01</v>
      </c>
      <c r="N93" s="21">
        <v>5703.01</v>
      </c>
      <c r="O93" s="21">
        <v>5703.01</v>
      </c>
      <c r="P93" s="21">
        <v>5703.01</v>
      </c>
      <c r="Q93" s="21">
        <v>5703.01</v>
      </c>
      <c r="R93" s="21">
        <v>5703.01</v>
      </c>
      <c r="S93" s="21">
        <v>5703.01</v>
      </c>
    </row>
    <row r="94" spans="1:19" x14ac:dyDescent="0.2">
      <c r="A94" s="13">
        <f t="shared" si="25"/>
        <v>94</v>
      </c>
      <c r="B94" s="4" t="s">
        <v>53</v>
      </c>
      <c r="C94" s="4"/>
      <c r="D94" s="43" t="s">
        <v>5</v>
      </c>
      <c r="E94" s="44" t="str">
        <f>(E$1004)</f>
        <v>D10</v>
      </c>
      <c r="F94" s="45"/>
      <c r="G94" s="21">
        <f>IF($E$1149=1,($L94),IF($E$1149=2,($M94),IF($E$1149=3,($N94),IF($E$1149=4,($O94),IF($E$1149=5,($P94),IF($E$1149=6,($Q94),IF($E$1149=7,($R94),IF($E$1149=8,($S94),0))))))))</f>
        <v>36979066.726153843</v>
      </c>
      <c r="H94" s="48">
        <f>IF($G$1004&lt;&gt;0,($G94)*(H$1004/$G$1004),0)</f>
        <v>35505302.395010725</v>
      </c>
      <c r="I94" s="48">
        <f>IF($G$1004&lt;&gt;0,($G94)*(I$1004/$G$1004),0)</f>
        <v>1473764.3311431191</v>
      </c>
      <c r="J94" s="20">
        <f>IF($E$1149=1,($G94),IF($E$1149=2,($G94),IF($E$1149=3,0,IF($E$1149=4,($H94),IF($E$1149=5,($I94),0)))))</f>
        <v>0</v>
      </c>
      <c r="L94" s="21">
        <v>36979066.726153843</v>
      </c>
      <c r="M94" s="21">
        <v>36979066.726153843</v>
      </c>
      <c r="N94" s="21">
        <v>36979066.726153843</v>
      </c>
      <c r="O94" s="21">
        <v>36979066.726153843</v>
      </c>
      <c r="P94" s="21">
        <v>36979066.726153843</v>
      </c>
      <c r="Q94" s="21">
        <v>36979066.726153843</v>
      </c>
      <c r="R94" s="21">
        <v>36979066.726153843</v>
      </c>
      <c r="S94" s="21">
        <v>36979066.726153843</v>
      </c>
    </row>
    <row r="95" spans="1:19" x14ac:dyDescent="0.2">
      <c r="A95" s="13">
        <f t="shared" si="25"/>
        <v>95</v>
      </c>
      <c r="B95" s="4" t="s">
        <v>54</v>
      </c>
      <c r="C95" s="4"/>
      <c r="D95" s="43" t="s">
        <v>5</v>
      </c>
      <c r="E95" s="44" t="str">
        <f>(E$1059)</f>
        <v>P101P</v>
      </c>
      <c r="F95" s="45"/>
      <c r="G95" s="21">
        <f>IF($E$1149=1,($L95),IF($E$1149=2,($M95),IF($E$1149=3,($N95),IF($E$1149=4,($O95),IF($E$1149=5,($P95),IF($E$1149=6,($Q95),IF($E$1149=7,($R95),IF($E$1149=8,($S95),0))))))))</f>
        <v>42409539.639999986</v>
      </c>
      <c r="H95" s="48">
        <f>IF($G$1059&lt;&gt;0,($G95)*(H$1059/$G$1059),0)</f>
        <v>40680122.173265889</v>
      </c>
      <c r="I95" s="48">
        <f>IF($G$1059&lt;&gt;0,($G95)*(I$1059/$G$1059),0)</f>
        <v>1729417.4667340931</v>
      </c>
      <c r="J95" s="20">
        <f>IF($E$1149=1,($G95),IF($E$1149=2,($G95),IF($E$1149=3,0,IF($E$1149=4,($H95),IF($E$1149=5,($I95),0)))))</f>
        <v>0</v>
      </c>
      <c r="L95" s="21">
        <v>42409539.639999986</v>
      </c>
      <c r="M95" s="21">
        <v>42409539.639999986</v>
      </c>
      <c r="N95" s="21">
        <v>42409539.639999986</v>
      </c>
      <c r="O95" s="21">
        <v>42409539.639999986</v>
      </c>
      <c r="P95" s="21">
        <v>42409539.639999986</v>
      </c>
      <c r="Q95" s="21">
        <v>42409539.639999986</v>
      </c>
      <c r="R95" s="21">
        <v>42409539.639999986</v>
      </c>
      <c r="S95" s="21">
        <v>42409539.639999986</v>
      </c>
    </row>
    <row r="96" spans="1:19" x14ac:dyDescent="0.2">
      <c r="A96" s="13">
        <f t="shared" si="25"/>
        <v>96</v>
      </c>
      <c r="B96" s="4" t="s">
        <v>5</v>
      </c>
      <c r="C96" s="4" t="s">
        <v>5</v>
      </c>
      <c r="D96" s="43" t="s">
        <v>5</v>
      </c>
      <c r="E96" s="44" t="s">
        <v>5</v>
      </c>
      <c r="F96" s="45"/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</row>
    <row r="97" spans="1:19" x14ac:dyDescent="0.2">
      <c r="A97" s="13">
        <f t="shared" si="25"/>
        <v>97</v>
      </c>
      <c r="B97" s="4" t="s">
        <v>5</v>
      </c>
      <c r="C97" s="4" t="s">
        <v>55</v>
      </c>
      <c r="D97" s="43" t="s">
        <v>5</v>
      </c>
      <c r="E97" s="44" t="s">
        <v>5</v>
      </c>
      <c r="F97" s="45"/>
      <c r="G97" s="46">
        <f>SUM(G93:G95)</f>
        <v>79394309.376153827</v>
      </c>
      <c r="H97" s="46">
        <f t="shared" ref="H97:I97" si="38">SUM(H93:H95)</f>
        <v>76190895.015386492</v>
      </c>
      <c r="I97" s="46">
        <f t="shared" si="38"/>
        <v>3203414.3607673235</v>
      </c>
      <c r="J97" s="20">
        <f>IF($E$1149=1,($G97),IF($E$1149=2,($G97),IF($E$1149=3,0,IF($E$1149=4,($H97),IF($E$1149=5,($I97),0)))))</f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</row>
    <row r="98" spans="1:19" x14ac:dyDescent="0.2">
      <c r="A98" s="13">
        <f t="shared" si="25"/>
        <v>98</v>
      </c>
      <c r="B98" s="4" t="s">
        <v>5</v>
      </c>
      <c r="C98" s="4" t="s">
        <v>5</v>
      </c>
      <c r="D98" s="43" t="s">
        <v>5</v>
      </c>
      <c r="E98" s="44" t="s">
        <v>5</v>
      </c>
      <c r="F98" s="45"/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</row>
    <row r="99" spans="1:19" x14ac:dyDescent="0.2">
      <c r="A99" s="13">
        <f t="shared" si="25"/>
        <v>99</v>
      </c>
      <c r="B99" s="4" t="s">
        <v>56</v>
      </c>
      <c r="C99" s="4"/>
      <c r="D99" s="43" t="s">
        <v>5</v>
      </c>
      <c r="E99" s="44" t="s">
        <v>5</v>
      </c>
      <c r="F99" s="45"/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</row>
    <row r="100" spans="1:19" x14ac:dyDescent="0.2">
      <c r="A100" s="13">
        <f t="shared" si="25"/>
        <v>100</v>
      </c>
      <c r="B100" s="4" t="s">
        <v>57</v>
      </c>
      <c r="C100" s="4"/>
      <c r="D100" s="43" t="s">
        <v>5</v>
      </c>
      <c r="E100" s="44" t="str">
        <f>(E$1004)</f>
        <v>D10</v>
      </c>
      <c r="F100" s="45"/>
      <c r="G100" s="21">
        <f>IF($E$1149=1,($L100),IF($E$1149=2,($M100),IF($E$1149=3,($N100),IF($E$1149=4,($O100),IF($E$1149=5,($P100),IF($E$1149=6,($Q100),IF($E$1149=7,($R100),IF($E$1149=8,($S100),0))))))))</f>
        <v>728281703.02999997</v>
      </c>
      <c r="H100" s="48">
        <f t="shared" ref="H100:I103" si="39">IF($G$1004&lt;&gt;0,($G100)*(H$1004/$G$1004),0)</f>
        <v>699256752.10578799</v>
      </c>
      <c r="I100" s="48">
        <f t="shared" si="39"/>
        <v>29024950.924212091</v>
      </c>
      <c r="J100" s="20">
        <f>IF($E$1149=1,($G100),IF($E$1149=2,($G100),IF($E$1149=3,0,IF($E$1149=4,($H100),IF($E$1149=5,($I100),0)))))</f>
        <v>0</v>
      </c>
      <c r="L100" s="21">
        <v>728281703.02999997</v>
      </c>
      <c r="M100" s="21">
        <v>728281703.02999997</v>
      </c>
      <c r="N100" s="21">
        <v>728281703.02999997</v>
      </c>
      <c r="O100" s="21">
        <v>728281703.02999997</v>
      </c>
      <c r="P100" s="21">
        <v>728281703.02999997</v>
      </c>
      <c r="Q100" s="21">
        <v>728281703.02999997</v>
      </c>
      <c r="R100" s="21">
        <v>728281703.02999997</v>
      </c>
      <c r="S100" s="21">
        <v>728281703.02999997</v>
      </c>
    </row>
    <row r="101" spans="1:19" x14ac:dyDescent="0.2">
      <c r="A101" s="13">
        <f t="shared" si="25"/>
        <v>101</v>
      </c>
      <c r="B101" s="4" t="s">
        <v>58</v>
      </c>
      <c r="C101" s="4"/>
      <c r="D101" s="43" t="s">
        <v>5</v>
      </c>
      <c r="E101" s="44" t="str">
        <f>(E$1004)</f>
        <v>D10</v>
      </c>
      <c r="F101" s="45"/>
      <c r="G101" s="21">
        <f>IF($E$1149=1,($L101),IF($E$1149=2,($M101),IF($E$1149=3,($N101),IF($E$1149=4,($O101),IF($E$1149=5,($P101),IF($E$1149=6,($Q101),IF($E$1149=7,($R101),IF($E$1149=8,($S101),0))))))))</f>
        <v>1012391476.79</v>
      </c>
      <c r="H101" s="48">
        <f t="shared" si="39"/>
        <v>972043610.28770256</v>
      </c>
      <c r="I101" s="48">
        <f t="shared" si="39"/>
        <v>40347866.502297558</v>
      </c>
      <c r="J101" s="20">
        <f>IF($E$1149=1,($G101),IF($E$1149=2,($G101),IF($E$1149=3,0,IF($E$1149=4,($H101),IF($E$1149=5,($I101),0)))))</f>
        <v>0</v>
      </c>
      <c r="L101" s="21">
        <v>1012391476.79</v>
      </c>
      <c r="M101" s="21">
        <v>1012391476.79</v>
      </c>
      <c r="N101" s="21">
        <v>1012391476.79</v>
      </c>
      <c r="O101" s="21">
        <v>1012391476.79</v>
      </c>
      <c r="P101" s="21">
        <v>1012391476.79</v>
      </c>
      <c r="Q101" s="21">
        <v>1012391476.79</v>
      </c>
      <c r="R101" s="21">
        <v>1012391476.79</v>
      </c>
      <c r="S101" s="21">
        <v>1012391476.79</v>
      </c>
    </row>
    <row r="102" spans="1:19" x14ac:dyDescent="0.2">
      <c r="A102" s="13">
        <f t="shared" si="25"/>
        <v>102</v>
      </c>
      <c r="B102" s="3" t="s">
        <v>59</v>
      </c>
      <c r="C102" s="4"/>
      <c r="D102" s="43" t="s">
        <v>5</v>
      </c>
      <c r="E102" s="44" t="str">
        <f>(E$1004)</f>
        <v>D10</v>
      </c>
      <c r="F102" s="45"/>
      <c r="G102" s="21">
        <f>IF($E$1149=1,($L102),IF($E$1149=2,($M102),IF($E$1149=3,($N102),IF($E$1149=4,($O102),IF($E$1149=5,($P102),IF($E$1149=6,($Q102),IF($E$1149=7,($R102),IF($E$1149=8,($S102),0))))))))</f>
        <v>386331287.48000002</v>
      </c>
      <c r="H102" s="48">
        <f t="shared" si="39"/>
        <v>370934434.01939243</v>
      </c>
      <c r="I102" s="48">
        <f t="shared" si="39"/>
        <v>15396853.460607631</v>
      </c>
      <c r="J102" s="20">
        <f>IF($E$1149=1,($G102),IF($E$1149=2,($G102),IF($E$1149=3,0,IF($E$1149=4,($H102),IF($E$1149=5,($I102),0)))))</f>
        <v>0</v>
      </c>
      <c r="L102" s="21">
        <v>386331287.48000002</v>
      </c>
      <c r="M102" s="21">
        <v>386331287.48000002</v>
      </c>
      <c r="N102" s="21">
        <v>386331287.48000002</v>
      </c>
      <c r="O102" s="21">
        <v>386331287.48000002</v>
      </c>
      <c r="P102" s="21">
        <v>386331287.48000002</v>
      </c>
      <c r="Q102" s="21">
        <v>386331287.48000002</v>
      </c>
      <c r="R102" s="21">
        <v>386331287.48000002</v>
      </c>
      <c r="S102" s="21">
        <v>386331287.48000002</v>
      </c>
    </row>
    <row r="103" spans="1:19" x14ac:dyDescent="0.2">
      <c r="A103" s="13">
        <f t="shared" si="25"/>
        <v>103</v>
      </c>
      <c r="B103" s="3" t="s">
        <v>60</v>
      </c>
      <c r="C103" s="4"/>
      <c r="D103" s="43" t="s">
        <v>5</v>
      </c>
      <c r="E103" s="44" t="str">
        <f>(E$1004)</f>
        <v>D10</v>
      </c>
      <c r="F103" s="45"/>
      <c r="G103" s="21">
        <f>IF($E$1149=1,($L103),IF($E$1149=2,($M103),IF($E$1149=3,($N103),IF($E$1149=4,($O103),IF($E$1149=5,($P103),IF($E$1149=6,($Q103),IF($E$1149=7,($R103),IF($E$1149=8,($S103),0))))))))</f>
        <v>168466418.25999999</v>
      </c>
      <c r="H103" s="48">
        <f t="shared" si="39"/>
        <v>161752354.86663082</v>
      </c>
      <c r="I103" s="48">
        <f t="shared" si="39"/>
        <v>6714063.3933691811</v>
      </c>
      <c r="J103" s="20">
        <f>IF($E$1149=1,($G103),IF($E$1149=2,($G103),IF($E$1149=3,0,IF($E$1149=4,($H103),IF($E$1149=5,($I103),0)))))</f>
        <v>0</v>
      </c>
      <c r="L103" s="21">
        <v>168466418.25999999</v>
      </c>
      <c r="M103" s="21">
        <v>168466418.25999999</v>
      </c>
      <c r="N103" s="21">
        <v>168466418.25999999</v>
      </c>
      <c r="O103" s="21">
        <v>168466418.25999999</v>
      </c>
      <c r="P103" s="21">
        <v>168466418.25999999</v>
      </c>
      <c r="Q103" s="21">
        <v>168466418.25999999</v>
      </c>
      <c r="R103" s="21">
        <v>168466418.25999999</v>
      </c>
      <c r="S103" s="21">
        <v>168466418.25999999</v>
      </c>
    </row>
    <row r="104" spans="1:19" x14ac:dyDescent="0.2">
      <c r="A104" s="13">
        <f t="shared" si="25"/>
        <v>104</v>
      </c>
      <c r="B104" s="4" t="s">
        <v>5</v>
      </c>
      <c r="C104" s="4" t="s">
        <v>5</v>
      </c>
      <c r="D104" s="43" t="s">
        <v>5</v>
      </c>
      <c r="E104" s="44" t="s">
        <v>5</v>
      </c>
      <c r="F104" s="45"/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</row>
    <row r="105" spans="1:19" x14ac:dyDescent="0.2">
      <c r="A105" s="13">
        <f t="shared" si="25"/>
        <v>105</v>
      </c>
      <c r="B105" s="4" t="s">
        <v>5</v>
      </c>
      <c r="C105" s="4" t="s">
        <v>61</v>
      </c>
      <c r="D105" s="43" t="s">
        <v>5</v>
      </c>
      <c r="E105" s="44" t="s">
        <v>5</v>
      </c>
      <c r="F105" s="45"/>
      <c r="G105" s="46">
        <f>SUM(G100:G103)</f>
        <v>2295470885.5599999</v>
      </c>
      <c r="H105" s="46">
        <f t="shared" ref="H105:I105" si="40">SUM(H100:H103)</f>
        <v>2203987151.2795138</v>
      </c>
      <c r="I105" s="46">
        <f t="shared" si="40"/>
        <v>91483734.280486465</v>
      </c>
      <c r="J105" s="20">
        <f>IF($E$1149=1,($G105),IF($E$1149=2,($G105),IF($E$1149=3,0,IF($E$1149=4,($H105),IF($E$1149=5,($I105),0)))))</f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</row>
    <row r="106" spans="1:19" x14ac:dyDescent="0.2">
      <c r="A106" s="13">
        <f t="shared" si="25"/>
        <v>106</v>
      </c>
      <c r="B106" s="4" t="s">
        <v>5</v>
      </c>
      <c r="C106" s="4" t="s">
        <v>5</v>
      </c>
      <c r="D106" s="43" t="s">
        <v>5</v>
      </c>
      <c r="E106" s="44" t="s">
        <v>5</v>
      </c>
      <c r="F106" s="45"/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</row>
    <row r="107" spans="1:19" x14ac:dyDescent="0.2">
      <c r="A107" s="13">
        <f t="shared" si="25"/>
        <v>107</v>
      </c>
      <c r="B107" s="4" t="s">
        <v>62</v>
      </c>
      <c r="C107" s="4"/>
      <c r="D107" s="43" t="s">
        <v>5</v>
      </c>
      <c r="E107" s="44" t="s">
        <v>5</v>
      </c>
      <c r="F107" s="45"/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</row>
    <row r="108" spans="1:19" x14ac:dyDescent="0.2">
      <c r="A108" s="13">
        <f t="shared" si="25"/>
        <v>108</v>
      </c>
      <c r="B108" s="4" t="s">
        <v>63</v>
      </c>
      <c r="C108" s="4"/>
      <c r="D108" s="43" t="s">
        <v>5</v>
      </c>
      <c r="E108" s="44" t="s">
        <v>5</v>
      </c>
      <c r="F108" s="45"/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</row>
    <row r="109" spans="1:19" x14ac:dyDescent="0.2">
      <c r="A109" s="13">
        <f t="shared" si="25"/>
        <v>109</v>
      </c>
      <c r="B109" s="4" t="s">
        <v>5</v>
      </c>
      <c r="C109" s="4" t="s">
        <v>507</v>
      </c>
      <c r="D109" s="43" t="s">
        <v>5</v>
      </c>
      <c r="E109" s="44" t="str">
        <f>(E$1005)</f>
        <v>D11</v>
      </c>
      <c r="F109" s="45"/>
      <c r="G109" s="21">
        <f>IF($E$1149=1,($L109),IF($E$1149=2,($M109),IF($E$1149=3,($N109),IF($E$1149=4,($O109),IF($E$1149=5,($P109),IF($E$1149=6,($Q109),IF($E$1149=7,($R109),IF($E$1149=8,($S109),0))))))))</f>
        <v>39295376.290000007</v>
      </c>
      <c r="H109" s="48">
        <f>IF($G$1005&lt;&gt;0,($G109)*(H$1005/$G$1005),0)</f>
        <v>37729297.71955058</v>
      </c>
      <c r="I109" s="48">
        <f>IF($G$1005&lt;&gt;0,($G109)*(I$1005/$G$1005),0)</f>
        <v>1566078.5704494286</v>
      </c>
      <c r="J109" s="20">
        <f>IF($E$1149=1,($G109),IF($E$1149=2,($G109),IF($E$1149=3,0,IF($E$1149=4,($H109),IF($E$1149=5,($I109),0)))))</f>
        <v>0</v>
      </c>
      <c r="L109" s="21">
        <v>39295376.290000007</v>
      </c>
      <c r="M109" s="21">
        <v>39295376.290000007</v>
      </c>
      <c r="N109" s="21">
        <v>39295376.290000007</v>
      </c>
      <c r="O109" s="21">
        <v>39295376.290000007</v>
      </c>
      <c r="P109" s="21">
        <v>39295376.290000007</v>
      </c>
      <c r="Q109" s="21">
        <v>39295376.290000007</v>
      </c>
      <c r="R109" s="21">
        <v>39295376.290000007</v>
      </c>
      <c r="S109" s="21">
        <v>39295376.290000007</v>
      </c>
    </row>
    <row r="110" spans="1:19" x14ac:dyDescent="0.2">
      <c r="A110" s="13">
        <f t="shared" si="25"/>
        <v>110</v>
      </c>
      <c r="B110" s="4" t="s">
        <v>5</v>
      </c>
      <c r="C110" s="4" t="s">
        <v>64</v>
      </c>
      <c r="D110" s="43" t="s">
        <v>5</v>
      </c>
      <c r="E110" s="44" t="str">
        <f>(E$1025)</f>
        <v>DA350</v>
      </c>
      <c r="F110" s="45"/>
      <c r="G110" s="21">
        <f>IF($E$1149=1,($L110),IF($E$1149=2,($M110),IF($E$1149=3,($N110),IF($E$1149=4,($O110),IF($E$1149=5,($P110),IF($E$1149=6,($Q110),IF($E$1149=7,($R110),IF($E$1149=8,($S110),0))))))))</f>
        <v>0</v>
      </c>
      <c r="H110" s="48">
        <f>IF($G$1025&lt;&gt;0,($G110)*(H$1025/$G$1025),0)</f>
        <v>0</v>
      </c>
      <c r="I110" s="48">
        <f>IF($G$1025&lt;&gt;0,($G110)*(I$1025/$G$1025),0)</f>
        <v>0</v>
      </c>
      <c r="J110" s="20">
        <f>IF($E$1149=1,($G110),IF($E$1149=2,($G110),IF($E$1149=3,0,IF($E$1149=4,($H110),IF($E$1149=5,($I110),0)))))</f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</row>
    <row r="111" spans="1:19" x14ac:dyDescent="0.2">
      <c r="A111" s="13">
        <f t="shared" si="25"/>
        <v>111</v>
      </c>
      <c r="B111" s="4" t="s">
        <v>5</v>
      </c>
      <c r="C111" s="4" t="s">
        <v>65</v>
      </c>
      <c r="D111" s="43" t="s">
        <v>5</v>
      </c>
      <c r="E111" s="44" t="s">
        <v>5</v>
      </c>
      <c r="F111" s="45"/>
      <c r="G111" s="46">
        <f>SUM(G109:G110)</f>
        <v>39295376.290000007</v>
      </c>
      <c r="H111" s="46">
        <f>SUM(H109:H110)</f>
        <v>37729297.71955058</v>
      </c>
      <c r="I111" s="46">
        <f>SUM(I109:I110)</f>
        <v>1566078.5704494286</v>
      </c>
      <c r="J111" s="20">
        <f>IF($E$1149=1,($G111),IF($E$1149=2,($G111),IF($E$1149=3,0,IF($E$1149=4,($H111),IF($E$1149=5,($I111),0)))))</f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</row>
    <row r="112" spans="1:19" x14ac:dyDescent="0.2">
      <c r="A112" s="13">
        <f t="shared" si="25"/>
        <v>112</v>
      </c>
      <c r="B112" s="4" t="s">
        <v>5</v>
      </c>
      <c r="C112" s="4" t="s">
        <v>5</v>
      </c>
      <c r="D112" s="43" t="s">
        <v>5</v>
      </c>
      <c r="E112" s="44" t="s">
        <v>5</v>
      </c>
      <c r="F112" s="45"/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</row>
    <row r="113" spans="1:19" x14ac:dyDescent="0.2">
      <c r="A113" s="13">
        <f t="shared" si="25"/>
        <v>113</v>
      </c>
      <c r="B113" s="4" t="s">
        <v>66</v>
      </c>
      <c r="C113" s="4"/>
      <c r="D113" s="43" t="s">
        <v>5</v>
      </c>
      <c r="E113" s="44" t="s">
        <v>5</v>
      </c>
      <c r="F113" s="45"/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</row>
    <row r="114" spans="1:19" x14ac:dyDescent="0.2">
      <c r="A114" s="13">
        <f t="shared" si="25"/>
        <v>114</v>
      </c>
      <c r="B114" s="4" t="s">
        <v>5</v>
      </c>
      <c r="C114" s="4" t="s">
        <v>507</v>
      </c>
      <c r="D114" s="43" t="s">
        <v>5</v>
      </c>
      <c r="E114" s="44" t="str">
        <f>(E$1005)</f>
        <v>D11</v>
      </c>
      <c r="F114" s="45"/>
      <c r="G114" s="21">
        <f>IF($E$1149=1,($L114),IF($E$1149=2,($M114),IF($E$1149=3,($N114),IF($E$1149=4,($O114),IF($E$1149=5,($P114),IF($E$1149=6,($Q114),IF($E$1149=7,($R114),IF($E$1149=8,($S114),0))))))))</f>
        <v>85679234.170000002</v>
      </c>
      <c r="H114" s="48">
        <f>IF($G$1005&lt;&gt;0,($G114)*(H$1005/$G$1005),0)</f>
        <v>82264572.567680612</v>
      </c>
      <c r="I114" s="48">
        <f>IF($G$1005&lt;&gt;0,($G114)*(I$1005/$G$1005),0)</f>
        <v>3414661.6023194063</v>
      </c>
      <c r="J114" s="20">
        <f>IF($E$1149=1,($G114),IF($E$1149=2,($G114),IF($E$1149=3,0,IF($E$1149=4,($H114),IF($E$1149=5,($I114),0)))))</f>
        <v>0</v>
      </c>
      <c r="L114" s="21">
        <v>85679234.170000002</v>
      </c>
      <c r="M114" s="21">
        <v>85679234.170000002</v>
      </c>
      <c r="N114" s="21">
        <v>85679234.170000002</v>
      </c>
      <c r="O114" s="21">
        <v>85679234.170000002</v>
      </c>
      <c r="P114" s="21">
        <v>85679234.170000002</v>
      </c>
      <c r="Q114" s="21">
        <v>85679234.170000002</v>
      </c>
      <c r="R114" s="21">
        <v>85679234.170000002</v>
      </c>
      <c r="S114" s="21">
        <v>85679234.170000002</v>
      </c>
    </row>
    <row r="115" spans="1:19" x14ac:dyDescent="0.2">
      <c r="A115" s="13">
        <f t="shared" si="25"/>
        <v>115</v>
      </c>
      <c r="B115" s="4" t="s">
        <v>5</v>
      </c>
      <c r="C115" s="4" t="s">
        <v>64</v>
      </c>
      <c r="D115" s="43" t="s">
        <v>5</v>
      </c>
      <c r="E115" s="44" t="str">
        <f>(E$1026)</f>
        <v>DA352</v>
      </c>
      <c r="F115" s="45"/>
      <c r="G115" s="21">
        <f>IF($E$1149=1,($L115),IF($E$1149=2,($M115),IF($E$1149=3,($N115),IF($E$1149=4,($O115),IF($E$1149=5,($P115),IF($E$1149=6,($Q115),IF($E$1149=7,($R115),IF($E$1149=8,($S115),0))))))))</f>
        <v>658.21</v>
      </c>
      <c r="H115" s="48">
        <f>IF($G$1026&lt;&gt;0,($G115)*(H$1026/$G$1026),0)</f>
        <v>0</v>
      </c>
      <c r="I115" s="48">
        <f>IF($G$1026&lt;&gt;0,($G115)*(I$1026/$G$1026),0)</f>
        <v>658.21</v>
      </c>
      <c r="J115" s="20">
        <f>IF($E$1149=1,($G115),IF($E$1149=2,($G115),IF($E$1149=3,0,IF($E$1149=4,($H115),IF($E$1149=5,($I115),0)))))</f>
        <v>0</v>
      </c>
      <c r="L115" s="21">
        <v>658.21</v>
      </c>
      <c r="M115" s="21">
        <v>658.21</v>
      </c>
      <c r="N115" s="21">
        <v>658.21</v>
      </c>
      <c r="O115" s="21">
        <v>658.21</v>
      </c>
      <c r="P115" s="21">
        <v>658.21</v>
      </c>
      <c r="Q115" s="21">
        <v>658.21</v>
      </c>
      <c r="R115" s="21">
        <v>658.21</v>
      </c>
      <c r="S115" s="21">
        <v>658.21</v>
      </c>
    </row>
    <row r="116" spans="1:19" x14ac:dyDescent="0.2">
      <c r="A116" s="13">
        <f t="shared" si="25"/>
        <v>116</v>
      </c>
      <c r="B116" s="4" t="s">
        <v>5</v>
      </c>
      <c r="C116" s="4" t="s">
        <v>67</v>
      </c>
      <c r="D116" s="43" t="s">
        <v>5</v>
      </c>
      <c r="E116" s="44" t="s">
        <v>5</v>
      </c>
      <c r="F116" s="45"/>
      <c r="G116" s="46">
        <f>SUM(G114:G115)</f>
        <v>85679892.379999995</v>
      </c>
      <c r="H116" s="46">
        <f>SUM(H114:H115)</f>
        <v>82264572.567680612</v>
      </c>
      <c r="I116" s="46">
        <f>SUM(I114:I115)</f>
        <v>3415319.8123194063</v>
      </c>
      <c r="J116" s="20">
        <f>IF($E$1149=1,($G116),IF($E$1149=2,($G116),IF($E$1149=3,0,IF($E$1149=4,($H116),IF($E$1149=5,($I116),0)))))</f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</row>
    <row r="117" spans="1:19" x14ac:dyDescent="0.2">
      <c r="A117" s="13">
        <f t="shared" si="25"/>
        <v>117</v>
      </c>
      <c r="B117" s="4" t="s">
        <v>5</v>
      </c>
      <c r="C117" s="4" t="s">
        <v>5</v>
      </c>
      <c r="D117" s="43" t="s">
        <v>5</v>
      </c>
      <c r="E117" s="44" t="s">
        <v>5</v>
      </c>
      <c r="F117" s="45"/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</row>
    <row r="118" spans="1:19" x14ac:dyDescent="0.2">
      <c r="A118" s="13">
        <f t="shared" si="25"/>
        <v>118</v>
      </c>
      <c r="B118" s="4" t="s">
        <v>68</v>
      </c>
      <c r="C118" s="4"/>
      <c r="D118" s="43" t="s">
        <v>5</v>
      </c>
      <c r="E118" s="44" t="s">
        <v>5</v>
      </c>
      <c r="F118" s="45"/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</row>
    <row r="119" spans="1:19" x14ac:dyDescent="0.2">
      <c r="A119" s="13">
        <f t="shared" si="25"/>
        <v>119</v>
      </c>
      <c r="B119" s="4" t="s">
        <v>5</v>
      </c>
      <c r="C119" s="4" t="s">
        <v>507</v>
      </c>
      <c r="D119" s="43" t="s">
        <v>5</v>
      </c>
      <c r="E119" s="44" t="str">
        <f>(E$1005)</f>
        <v>D11</v>
      </c>
      <c r="F119" s="45"/>
      <c r="G119" s="21">
        <f>IF($E$1149=1,($L119),IF($E$1149=2,($M119),IF($E$1149=3,($N119),IF($E$1149=4,($O119),IF($E$1149=5,($P119),IF($E$1149=6,($Q119),IF($E$1149=7,($R119),IF($E$1149=8,($S119),0))))))))</f>
        <v>459442625.95000005</v>
      </c>
      <c r="H119" s="48">
        <f>IF($G$1005&lt;&gt;0,($G119)*(H$1005/$G$1005),0)</f>
        <v>441131992.0082044</v>
      </c>
      <c r="I119" s="48">
        <f>IF($G$1005&lt;&gt;0,($G119)*(I$1005/$G$1005),0)</f>
        <v>18310633.941795688</v>
      </c>
      <c r="J119" s="20">
        <f>IF($E$1149=1,($G119),IF($E$1149=2,($G119),IF($E$1149=3,0,IF($E$1149=4,($H119),IF($E$1149=5,($I119),0)))))</f>
        <v>0</v>
      </c>
      <c r="L119" s="21">
        <v>459442625.95000005</v>
      </c>
      <c r="M119" s="21">
        <v>459442625.95000005</v>
      </c>
      <c r="N119" s="21">
        <v>459442625.95000005</v>
      </c>
      <c r="O119" s="21">
        <v>459442625.95000005</v>
      </c>
      <c r="P119" s="21">
        <v>459442625.95000005</v>
      </c>
      <c r="Q119" s="21">
        <v>459442625.95000005</v>
      </c>
      <c r="R119" s="21">
        <v>459442625.95000005</v>
      </c>
      <c r="S119" s="21">
        <v>459442625.95000005</v>
      </c>
    </row>
    <row r="120" spans="1:19" x14ac:dyDescent="0.2">
      <c r="A120" s="13">
        <f t="shared" si="25"/>
        <v>120</v>
      </c>
      <c r="B120" s="4" t="s">
        <v>5</v>
      </c>
      <c r="C120" s="4" t="s">
        <v>64</v>
      </c>
      <c r="D120" s="43" t="s">
        <v>5</v>
      </c>
      <c r="E120" s="44" t="str">
        <f>(E$1027)</f>
        <v>DA353</v>
      </c>
      <c r="F120" s="45"/>
      <c r="G120" s="21">
        <f>IF($E$1149=1,($L120),IF($E$1149=2,($M120),IF($E$1149=3,($N120),IF($E$1149=4,($O120),IF($E$1149=5,($P120),IF($E$1149=6,($Q120),IF($E$1149=7,($R120),IF($E$1149=8,($S120),0))))))))</f>
        <v>111593.64</v>
      </c>
      <c r="H120" s="48">
        <f>IF($G$1027&lt;&gt;0,($G120)*(H$1027/$G$1027),0)</f>
        <v>75099.757728910146</v>
      </c>
      <c r="I120" s="48">
        <f>IF($G$1027&lt;&gt;0,($G120)*(I$1027/$G$1027),0)</f>
        <v>36493.882271089838</v>
      </c>
      <c r="J120" s="20">
        <f>IF($E$1149=1,($G120),IF($E$1149=2,($G120),IF($E$1149=3,0,IF($E$1149=4,($H120),IF($E$1149=5,($I120),0)))))</f>
        <v>0</v>
      </c>
      <c r="L120" s="21">
        <v>111593.64</v>
      </c>
      <c r="M120" s="21">
        <v>111593.64</v>
      </c>
      <c r="N120" s="21">
        <v>111593.64</v>
      </c>
      <c r="O120" s="21">
        <v>111593.64</v>
      </c>
      <c r="P120" s="21">
        <v>111593.64</v>
      </c>
      <c r="Q120" s="21">
        <v>111593.64</v>
      </c>
      <c r="R120" s="21">
        <v>111593.64</v>
      </c>
      <c r="S120" s="21">
        <v>111593.64</v>
      </c>
    </row>
    <row r="121" spans="1:19" x14ac:dyDescent="0.2">
      <c r="A121" s="13">
        <f t="shared" si="25"/>
        <v>121</v>
      </c>
      <c r="B121" s="4" t="s">
        <v>5</v>
      </c>
      <c r="C121" s="4" t="s">
        <v>69</v>
      </c>
      <c r="D121" s="43" t="s">
        <v>5</v>
      </c>
      <c r="E121" s="44" t="s">
        <v>5</v>
      </c>
      <c r="F121" s="45"/>
      <c r="G121" s="46">
        <f>SUM(G119:G120)</f>
        <v>459554219.59000003</v>
      </c>
      <c r="H121" s="46">
        <f>SUM(H119:H120)</f>
        <v>441207091.76593333</v>
      </c>
      <c r="I121" s="46">
        <f>SUM(I119:I120)</f>
        <v>18347127.824066777</v>
      </c>
      <c r="J121" s="20">
        <f>IF($E$1149=1,($G121),IF($E$1149=2,($G121),IF($E$1149=3,0,IF($E$1149=4,($H121),IF($E$1149=5,($I121),0)))))</f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</row>
    <row r="122" spans="1:19" x14ac:dyDescent="0.2">
      <c r="A122" s="13">
        <f t="shared" si="25"/>
        <v>122</v>
      </c>
      <c r="B122" s="38" t="str">
        <f>B90</f>
        <v>* * * TABLE 1 - ELECTRIC PLANT IN SERVICE * * *</v>
      </c>
      <c r="C122" s="4"/>
      <c r="D122" s="43" t="s">
        <v>5</v>
      </c>
      <c r="E122" s="44" t="s">
        <v>5</v>
      </c>
      <c r="F122" s="45"/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</row>
    <row r="123" spans="1:19" x14ac:dyDescent="0.2">
      <c r="A123" s="13">
        <f t="shared" si="25"/>
        <v>123</v>
      </c>
      <c r="B123" s="4" t="str">
        <f>" "</f>
        <v xml:space="preserve"> </v>
      </c>
      <c r="C123" s="4"/>
      <c r="D123" s="43"/>
      <c r="E123" s="44"/>
      <c r="F123" s="45"/>
      <c r="L123" s="21">
        <v>0</v>
      </c>
      <c r="M123" s="21">
        <v>0</v>
      </c>
      <c r="N123" s="21">
        <v>0</v>
      </c>
      <c r="O123" s="21">
        <v>0</v>
      </c>
      <c r="P123" s="21">
        <v>0</v>
      </c>
      <c r="Q123" s="21">
        <v>0</v>
      </c>
      <c r="R123" s="21">
        <v>0</v>
      </c>
      <c r="S123" s="21">
        <v>0</v>
      </c>
    </row>
    <row r="124" spans="1:19" x14ac:dyDescent="0.2">
      <c r="A124" s="13">
        <f t="shared" si="25"/>
        <v>124</v>
      </c>
      <c r="B124" s="4" t="s">
        <v>70</v>
      </c>
      <c r="C124" s="4"/>
      <c r="D124" s="43" t="s">
        <v>5</v>
      </c>
      <c r="E124" s="44" t="s">
        <v>5</v>
      </c>
      <c r="F124" s="45"/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21">
        <v>0</v>
      </c>
      <c r="S124" s="21">
        <v>0</v>
      </c>
    </row>
    <row r="125" spans="1:19" x14ac:dyDescent="0.2">
      <c r="A125" s="13">
        <f t="shared" si="25"/>
        <v>125</v>
      </c>
      <c r="B125" s="4" t="s">
        <v>5</v>
      </c>
      <c r="C125" s="4" t="s">
        <v>507</v>
      </c>
      <c r="D125" s="43" t="s">
        <v>5</v>
      </c>
      <c r="E125" s="44" t="str">
        <f>(E$1005)</f>
        <v>D11</v>
      </c>
      <c r="F125" s="45"/>
      <c r="G125" s="21">
        <f>IF($E$1149=1,($L125),IF($E$1149=2,($M125),IF($E$1149=3,($N125),IF($E$1149=4,($O125),IF($E$1149=5,($P125),IF($E$1149=6,($Q125),IF($E$1149=7,($R125),IF($E$1149=8,($S125),0))))))))</f>
        <v>224995586.47</v>
      </c>
      <c r="H125" s="48">
        <f>IF($G$1005&lt;&gt;0,($G125)*(H$1005/$G$1005),0)</f>
        <v>216028608.68065542</v>
      </c>
      <c r="I125" s="48">
        <f>IF($G$1005&lt;&gt;0,($G125)*(I$1005/$G$1005),0)</f>
        <v>8966977.7893445976</v>
      </c>
      <c r="J125" s="20">
        <f>IF($E$1149=1,($G125),IF($E$1149=2,($G125),IF($E$1149=3,0,IF($E$1149=4,($H125),IF($E$1149=5,($I125),0)))))</f>
        <v>0</v>
      </c>
      <c r="L125" s="21">
        <v>224995586.47</v>
      </c>
      <c r="M125" s="21">
        <v>224995586.47</v>
      </c>
      <c r="N125" s="21">
        <v>224995586.47</v>
      </c>
      <c r="O125" s="21">
        <v>224995586.47</v>
      </c>
      <c r="P125" s="21">
        <v>224995586.47</v>
      </c>
      <c r="Q125" s="21">
        <v>224995586.47</v>
      </c>
      <c r="R125" s="21">
        <v>224995586.47</v>
      </c>
      <c r="S125" s="21">
        <v>224995586.47</v>
      </c>
    </row>
    <row r="126" spans="1:19" x14ac:dyDescent="0.2">
      <c r="A126" s="13">
        <f t="shared" si="25"/>
        <v>126</v>
      </c>
      <c r="B126" s="4" t="s">
        <v>5</v>
      </c>
      <c r="C126" s="4" t="s">
        <v>64</v>
      </c>
      <c r="D126" s="43" t="s">
        <v>5</v>
      </c>
      <c r="E126" s="44" t="str">
        <f>(E$1028)</f>
        <v>DA354</v>
      </c>
      <c r="F126" s="45"/>
      <c r="G126" s="21">
        <f>IF($E$1149=1,($L126),IF($E$1149=2,($M126),IF($E$1149=3,($N126),IF($E$1149=4,($O126),IF($E$1149=5,($P126),IF($E$1149=6,($Q126),IF($E$1149=7,($R126),IF($E$1149=8,($S126),0))))))))</f>
        <v>0</v>
      </c>
      <c r="H126" s="48">
        <f>IF($G$1028&lt;&gt;0,($G126)*(H$1028/$G$1028),0)</f>
        <v>0</v>
      </c>
      <c r="I126" s="48">
        <f>IF($G$1028&lt;&gt;0,($G126)*(I$1028/$G$1028),0)</f>
        <v>0</v>
      </c>
      <c r="J126" s="20">
        <f>IF($E$1149=1,($G126),IF($E$1149=2,($G126),IF($E$1149=3,0,IF($E$1149=4,($H126),IF($E$1149=5,($I126),0)))))</f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</row>
    <row r="127" spans="1:19" x14ac:dyDescent="0.2">
      <c r="A127" s="13">
        <f t="shared" si="25"/>
        <v>127</v>
      </c>
      <c r="B127" s="4" t="s">
        <v>5</v>
      </c>
      <c r="C127" s="4" t="s">
        <v>71</v>
      </c>
      <c r="D127" s="43" t="s">
        <v>5</v>
      </c>
      <c r="E127" s="44" t="s">
        <v>5</v>
      </c>
      <c r="F127" s="45"/>
      <c r="G127" s="46">
        <f>SUM(G125:G126)</f>
        <v>224995586.47</v>
      </c>
      <c r="H127" s="46">
        <f>SUM(H125:H126)</f>
        <v>216028608.68065542</v>
      </c>
      <c r="I127" s="46">
        <f>SUM(I125:I126)</f>
        <v>8966977.7893445976</v>
      </c>
      <c r="J127" s="20">
        <f>IF($E$1149=1,($G127),IF($E$1149=2,($G127),IF($E$1149=3,0,IF($E$1149=4,($H127),IF($E$1149=5,($I127),0)))))</f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</row>
    <row r="128" spans="1:19" x14ac:dyDescent="0.2">
      <c r="A128" s="13">
        <f t="shared" si="25"/>
        <v>128</v>
      </c>
      <c r="B128" s="4" t="s">
        <v>5</v>
      </c>
      <c r="C128" s="4" t="s">
        <v>5</v>
      </c>
      <c r="D128" s="43" t="s">
        <v>5</v>
      </c>
      <c r="E128" s="44" t="s">
        <v>5</v>
      </c>
      <c r="F128" s="45"/>
      <c r="L128" s="21">
        <v>0</v>
      </c>
      <c r="M128" s="21">
        <v>0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v>0</v>
      </c>
    </row>
    <row r="129" spans="1:19" x14ac:dyDescent="0.2">
      <c r="A129" s="13">
        <f t="shared" si="25"/>
        <v>129</v>
      </c>
      <c r="B129" s="4" t="s">
        <v>72</v>
      </c>
      <c r="C129" s="4"/>
      <c r="D129" s="43"/>
      <c r="E129" s="44"/>
      <c r="F129" s="45"/>
      <c r="L129" s="21">
        <v>0</v>
      </c>
      <c r="M129" s="21">
        <v>0</v>
      </c>
      <c r="N129" s="21">
        <v>0</v>
      </c>
      <c r="O129" s="21">
        <v>0</v>
      </c>
      <c r="P129" s="21">
        <v>0</v>
      </c>
      <c r="Q129" s="21">
        <v>0</v>
      </c>
      <c r="R129" s="21">
        <v>0</v>
      </c>
      <c r="S129" s="21">
        <v>0</v>
      </c>
    </row>
    <row r="130" spans="1:19" x14ac:dyDescent="0.2">
      <c r="A130" s="13">
        <f t="shared" si="25"/>
        <v>130</v>
      </c>
      <c r="B130" s="4" t="s">
        <v>5</v>
      </c>
      <c r="C130" s="4" t="s">
        <v>507</v>
      </c>
      <c r="D130" s="43" t="s">
        <v>5</v>
      </c>
      <c r="E130" s="44" t="str">
        <f>(E$1005)</f>
        <v>D11</v>
      </c>
      <c r="F130" s="45"/>
      <c r="G130" s="21">
        <f>IF($E$1149=1,($L130),IF($E$1149=2,($M130),IF($E$1149=3,($N130),IF($E$1149=4,($O130),IF($E$1149=5,($P130),IF($E$1149=6,($Q130),IF($E$1149=7,($R130),IF($E$1149=8,($S130),0))))))))</f>
        <v>219844940.85000002</v>
      </c>
      <c r="H130" s="48">
        <f>IF($G$1005&lt;&gt;0,($G130)*(H$1005/$G$1005),0)</f>
        <v>211083236.97557947</v>
      </c>
      <c r="I130" s="48">
        <f>IF($G$1005&lt;&gt;0,($G130)*(I$1005/$G$1005),0)</f>
        <v>8761703.8744205683</v>
      </c>
      <c r="J130" s="20">
        <f>IF($E$1149=1,($G130),IF($E$1149=2,($G130),IF($E$1149=3,0,IF($E$1149=4,($H130),IF($E$1149=5,($I130),0)))))</f>
        <v>0</v>
      </c>
      <c r="L130" s="21">
        <v>219844940.85000002</v>
      </c>
      <c r="M130" s="21">
        <v>219844940.85000002</v>
      </c>
      <c r="N130" s="21">
        <v>219844940.85000002</v>
      </c>
      <c r="O130" s="21">
        <v>219844940.85000002</v>
      </c>
      <c r="P130" s="21">
        <v>219844940.85000002</v>
      </c>
      <c r="Q130" s="21">
        <v>219844940.85000002</v>
      </c>
      <c r="R130" s="21">
        <v>219844940.85000002</v>
      </c>
      <c r="S130" s="21">
        <v>219844940.85000002</v>
      </c>
    </row>
    <row r="131" spans="1:19" x14ac:dyDescent="0.2">
      <c r="A131" s="13">
        <f t="shared" ref="A131:A194" si="41">A130+1</f>
        <v>131</v>
      </c>
      <c r="B131" s="4" t="s">
        <v>5</v>
      </c>
      <c r="C131" s="4" t="s">
        <v>64</v>
      </c>
      <c r="D131" s="43" t="s">
        <v>5</v>
      </c>
      <c r="E131" s="44" t="str">
        <f>(E$1029)</f>
        <v>DA355</v>
      </c>
      <c r="F131" s="45"/>
      <c r="G131" s="21">
        <f>IF($E$1149=1,($L131),IF($E$1149=2,($M131),IF($E$1149=3,($N131),IF($E$1149=4,($O131),IF($E$1149=5,($P131),IF($E$1149=6,($Q131),IF($E$1149=7,($R131),IF($E$1149=8,($S131),0))))))))</f>
        <v>33841.51</v>
      </c>
      <c r="H131" s="48">
        <f>IF($G$1029&lt;&gt;0,($G131)*(H$1029/$G$1029),0)</f>
        <v>0</v>
      </c>
      <c r="I131" s="48">
        <f>IF($G$1029&lt;&gt;0,($G131)*(I$1029/$G$1029),0)</f>
        <v>33841.51</v>
      </c>
      <c r="J131" s="20">
        <f>IF($E$1149=1,($G131),IF($E$1149=2,($G131),IF($E$1149=3,0,IF($E$1149=4,($H131),IF($E$1149=5,($I131),0)))))</f>
        <v>0</v>
      </c>
      <c r="L131" s="21">
        <v>33841.51</v>
      </c>
      <c r="M131" s="21">
        <v>33841.51</v>
      </c>
      <c r="N131" s="21">
        <v>33841.51</v>
      </c>
      <c r="O131" s="21">
        <v>33841.51</v>
      </c>
      <c r="P131" s="21">
        <v>33841.51</v>
      </c>
      <c r="Q131" s="21">
        <v>33841.51</v>
      </c>
      <c r="R131" s="21">
        <v>33841.51</v>
      </c>
      <c r="S131" s="21">
        <v>33841.51</v>
      </c>
    </row>
    <row r="132" spans="1:19" x14ac:dyDescent="0.2">
      <c r="A132" s="13">
        <f t="shared" si="41"/>
        <v>132</v>
      </c>
      <c r="B132" s="4" t="s">
        <v>5</v>
      </c>
      <c r="C132" s="4" t="s">
        <v>73</v>
      </c>
      <c r="D132" s="43" t="s">
        <v>5</v>
      </c>
      <c r="E132" s="44" t="s">
        <v>5</v>
      </c>
      <c r="F132" s="45"/>
      <c r="G132" s="46">
        <f>SUM(G130:G131)</f>
        <v>219878782.36000001</v>
      </c>
      <c r="H132" s="46">
        <f>SUM(H130:H131)</f>
        <v>211083236.97557947</v>
      </c>
      <c r="I132" s="46">
        <f>SUM(I130:I131)</f>
        <v>8795545.3844205681</v>
      </c>
      <c r="J132" s="20">
        <f>IF($E$1149=1,($G132),IF($E$1149=2,($G132),IF($E$1149=3,0,IF($E$1149=4,($H132),IF($E$1149=5,($I132),0)))))</f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0</v>
      </c>
      <c r="R132" s="21">
        <v>0</v>
      </c>
      <c r="S132" s="21">
        <v>0</v>
      </c>
    </row>
    <row r="133" spans="1:19" x14ac:dyDescent="0.2">
      <c r="A133" s="13">
        <f t="shared" si="41"/>
        <v>133</v>
      </c>
      <c r="B133" s="4" t="s">
        <v>5</v>
      </c>
      <c r="C133" s="4" t="s">
        <v>5</v>
      </c>
      <c r="D133" s="43" t="s">
        <v>5</v>
      </c>
      <c r="E133" s="44" t="s">
        <v>5</v>
      </c>
      <c r="F133" s="45"/>
      <c r="L133" s="21">
        <v>0</v>
      </c>
      <c r="M133" s="21">
        <v>0</v>
      </c>
      <c r="N133" s="21">
        <v>0</v>
      </c>
      <c r="O133" s="21">
        <v>0</v>
      </c>
      <c r="P133" s="21">
        <v>0</v>
      </c>
      <c r="Q133" s="21">
        <v>0</v>
      </c>
      <c r="R133" s="21">
        <v>0</v>
      </c>
      <c r="S133" s="21">
        <v>0</v>
      </c>
    </row>
    <row r="134" spans="1:19" x14ac:dyDescent="0.2">
      <c r="A134" s="13">
        <f t="shared" si="41"/>
        <v>134</v>
      </c>
      <c r="B134" s="4" t="s">
        <v>74</v>
      </c>
      <c r="C134" s="4"/>
      <c r="D134" s="43" t="s">
        <v>5</v>
      </c>
      <c r="E134" s="44" t="s">
        <v>5</v>
      </c>
      <c r="F134" s="45"/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21">
        <v>0</v>
      </c>
      <c r="S134" s="21">
        <v>0</v>
      </c>
    </row>
    <row r="135" spans="1:19" x14ac:dyDescent="0.2">
      <c r="A135" s="13">
        <f t="shared" si="41"/>
        <v>135</v>
      </c>
      <c r="B135" s="4" t="s">
        <v>5</v>
      </c>
      <c r="C135" s="4" t="s">
        <v>507</v>
      </c>
      <c r="D135" s="43" t="s">
        <v>5</v>
      </c>
      <c r="E135" s="44" t="str">
        <f>(E$1005)</f>
        <v>D11</v>
      </c>
      <c r="F135" s="45"/>
      <c r="G135" s="21">
        <f>IF($E$1149=1,($L135),IF($E$1149=2,($M135),IF($E$1149=3,($N135),IF($E$1149=4,($O135),IF($E$1149=5,($P135),IF($E$1149=6,($Q135),IF($E$1149=7,($R135),IF($E$1149=8,($S135),0))))))))</f>
        <v>248552604.72999999</v>
      </c>
      <c r="H135" s="48">
        <f>IF($G$1005&lt;&gt;0,($G135)*(H$1005/$G$1005),0)</f>
        <v>238646785.14897978</v>
      </c>
      <c r="I135" s="48">
        <f>IF($G$1005&lt;&gt;0,($G135)*(I$1005/$G$1005),0)</f>
        <v>9905819.5810202323</v>
      </c>
      <c r="J135" s="20">
        <f>IF($E$1149=1,($G135),IF($E$1149=2,($G135),IF($E$1149=3,0,IF($E$1149=4,($H135),IF($E$1149=5,($I135),0)))))</f>
        <v>0</v>
      </c>
      <c r="L135" s="21">
        <v>248552604.72999999</v>
      </c>
      <c r="M135" s="21">
        <v>248552604.72999999</v>
      </c>
      <c r="N135" s="21">
        <v>248552604.72999999</v>
      </c>
      <c r="O135" s="21">
        <v>248552604.72999999</v>
      </c>
      <c r="P135" s="21">
        <v>248552604.72999999</v>
      </c>
      <c r="Q135" s="21">
        <v>248552604.72999999</v>
      </c>
      <c r="R135" s="21">
        <v>248552604.72999999</v>
      </c>
      <c r="S135" s="21">
        <v>248552604.72999999</v>
      </c>
    </row>
    <row r="136" spans="1:19" x14ac:dyDescent="0.2">
      <c r="A136" s="13">
        <f t="shared" si="41"/>
        <v>136</v>
      </c>
      <c r="B136" s="4" t="s">
        <v>5</v>
      </c>
      <c r="C136" s="4" t="s">
        <v>64</v>
      </c>
      <c r="D136" s="43" t="s">
        <v>5</v>
      </c>
      <c r="E136" s="44" t="str">
        <f>(E$1030)</f>
        <v>DA356</v>
      </c>
      <c r="F136" s="45"/>
      <c r="G136" s="21">
        <f>IF($E$1149=1,($L136),IF($E$1149=2,($M136),IF($E$1149=3,($N136),IF($E$1149=4,($O136),IF($E$1149=5,($P136),IF($E$1149=6,($Q136),IF($E$1149=7,($R136),IF($E$1149=8,($S136),0))))))))</f>
        <v>26495.280000000002</v>
      </c>
      <c r="H136" s="48">
        <f>IF($G$1030&lt;&gt;0,($G136)*(H$1030/$G$1030),0)</f>
        <v>1189.0125653896964</v>
      </c>
      <c r="I136" s="48">
        <f>IF($G$1030&lt;&gt;0,($G136)*(I$1030/$G$1030),0)</f>
        <v>25306.267434610305</v>
      </c>
      <c r="J136" s="20">
        <f>IF($E$1149=1,($G136),IF($E$1149=2,($G136),IF($E$1149=3,0,IF($E$1149=4,($H136),IF($E$1149=5,($I136),0)))))</f>
        <v>0</v>
      </c>
      <c r="L136" s="21">
        <v>26495.280000000002</v>
      </c>
      <c r="M136" s="21">
        <v>26495.280000000002</v>
      </c>
      <c r="N136" s="21">
        <v>26495.280000000002</v>
      </c>
      <c r="O136" s="21">
        <v>26495.280000000002</v>
      </c>
      <c r="P136" s="21">
        <v>26495.280000000002</v>
      </c>
      <c r="Q136" s="21">
        <v>26495.280000000002</v>
      </c>
      <c r="R136" s="21">
        <v>26495.280000000002</v>
      </c>
      <c r="S136" s="21">
        <v>26495.280000000002</v>
      </c>
    </row>
    <row r="137" spans="1:19" x14ac:dyDescent="0.2">
      <c r="A137" s="13">
        <f t="shared" si="41"/>
        <v>137</v>
      </c>
      <c r="B137" s="4" t="s">
        <v>5</v>
      </c>
      <c r="C137" s="4" t="s">
        <v>75</v>
      </c>
      <c r="D137" s="43" t="s">
        <v>5</v>
      </c>
      <c r="E137" s="44" t="s">
        <v>5</v>
      </c>
      <c r="F137" s="45"/>
      <c r="G137" s="46">
        <f>SUM(G135:G136)</f>
        <v>248579100.00999999</v>
      </c>
      <c r="H137" s="46">
        <f>SUM(H135:H136)</f>
        <v>238647974.16154519</v>
      </c>
      <c r="I137" s="46">
        <f>SUM(I135:I136)</f>
        <v>9931125.8484548423</v>
      </c>
      <c r="J137" s="20">
        <f>IF($E$1149=1,($G137),IF($E$1149=2,($G137),IF($E$1149=3,0,IF($E$1149=4,($H137),IF($E$1149=5,($I137),0)))))</f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21">
        <v>0</v>
      </c>
      <c r="R137" s="21">
        <v>0</v>
      </c>
      <c r="S137" s="21">
        <v>0</v>
      </c>
    </row>
    <row r="138" spans="1:19" x14ac:dyDescent="0.2">
      <c r="A138" s="13">
        <f t="shared" si="41"/>
        <v>138</v>
      </c>
      <c r="B138" s="4" t="s">
        <v>5</v>
      </c>
      <c r="C138" s="4" t="s">
        <v>5</v>
      </c>
      <c r="D138" s="43" t="s">
        <v>5</v>
      </c>
      <c r="E138" s="44" t="s">
        <v>5</v>
      </c>
      <c r="F138" s="45"/>
      <c r="L138" s="21">
        <v>0</v>
      </c>
      <c r="M138" s="21">
        <v>0</v>
      </c>
      <c r="N138" s="21">
        <v>0</v>
      </c>
      <c r="O138" s="21">
        <v>0</v>
      </c>
      <c r="P138" s="21">
        <v>0</v>
      </c>
      <c r="Q138" s="21">
        <v>0</v>
      </c>
      <c r="R138" s="21">
        <v>0</v>
      </c>
      <c r="S138" s="21">
        <v>0</v>
      </c>
    </row>
    <row r="139" spans="1:19" x14ac:dyDescent="0.2">
      <c r="A139" s="13">
        <f t="shared" si="41"/>
        <v>139</v>
      </c>
      <c r="B139" s="4" t="s">
        <v>76</v>
      </c>
      <c r="C139" s="4"/>
      <c r="D139" s="43" t="s">
        <v>5</v>
      </c>
      <c r="E139" s="44" t="s">
        <v>5</v>
      </c>
      <c r="F139" s="45"/>
      <c r="L139" s="21">
        <v>0</v>
      </c>
      <c r="M139" s="21">
        <v>0</v>
      </c>
      <c r="N139" s="21">
        <v>0</v>
      </c>
      <c r="O139" s="21">
        <v>0</v>
      </c>
      <c r="P139" s="21">
        <v>0</v>
      </c>
      <c r="Q139" s="21">
        <v>0</v>
      </c>
      <c r="R139" s="21">
        <v>0</v>
      </c>
      <c r="S139" s="21">
        <v>0</v>
      </c>
    </row>
    <row r="140" spans="1:19" x14ac:dyDescent="0.2">
      <c r="A140" s="13">
        <f t="shared" si="41"/>
        <v>140</v>
      </c>
      <c r="B140" s="4" t="s">
        <v>5</v>
      </c>
      <c r="C140" s="4" t="s">
        <v>507</v>
      </c>
      <c r="D140" s="43" t="s">
        <v>5</v>
      </c>
      <c r="E140" s="44" t="str">
        <f>(E$1005)</f>
        <v>D11</v>
      </c>
      <c r="F140" s="45"/>
      <c r="G140" s="21">
        <f>IF($E$1149=1,($L140),IF($E$1149=2,($M140),IF($E$1149=3,($N140),IF($E$1149=4,($O140),IF($E$1149=5,($P140),IF($E$1149=6,($Q140),IF($E$1149=7,($R140),IF($E$1149=8,($S140),0))))))))</f>
        <v>390266.18</v>
      </c>
      <c r="H140" s="48">
        <f>IF($G$1005&lt;&gt;0,($G140)*(H$1005/$G$1005),0)</f>
        <v>374712.50526843383</v>
      </c>
      <c r="I140" s="48">
        <f>IF($G$1005&lt;&gt;0,($G140)*(I$1005/$G$1005),0)</f>
        <v>15553.674731566218</v>
      </c>
      <c r="J140" s="20">
        <f>IF($E$1149=1,($G140),IF($E$1149=2,($G140),IF($E$1149=3,0,IF($E$1149=4,($H140),IF($E$1149=5,($I140),0)))))</f>
        <v>0</v>
      </c>
      <c r="L140" s="21">
        <v>390266.18</v>
      </c>
      <c r="M140" s="21">
        <v>390266.18</v>
      </c>
      <c r="N140" s="21">
        <v>390266.18</v>
      </c>
      <c r="O140" s="21">
        <v>390266.18</v>
      </c>
      <c r="P140" s="21">
        <v>390266.18</v>
      </c>
      <c r="Q140" s="21">
        <v>390266.18</v>
      </c>
      <c r="R140" s="21">
        <v>390266.18</v>
      </c>
      <c r="S140" s="21">
        <v>390266.18</v>
      </c>
    </row>
    <row r="141" spans="1:19" x14ac:dyDescent="0.2">
      <c r="A141" s="13">
        <f t="shared" si="41"/>
        <v>141</v>
      </c>
      <c r="B141" s="4" t="s">
        <v>5</v>
      </c>
      <c r="C141" s="4" t="s">
        <v>64</v>
      </c>
      <c r="D141" s="43" t="s">
        <v>5</v>
      </c>
      <c r="E141" s="44" t="str">
        <f>(E$1031)</f>
        <v>DA359</v>
      </c>
      <c r="F141" s="45"/>
      <c r="G141" s="21">
        <f>IF($E$1149=1,($L141),IF($E$1149=2,($M141),IF($E$1149=3,($N141),IF($E$1149=4,($O141),IF($E$1149=5,($P141),IF($E$1149=6,($Q141),IF($E$1149=7,($R141),IF($E$1149=8,($S141),0))))))))</f>
        <v>0</v>
      </c>
      <c r="H141" s="48">
        <f>IF($G$1031&lt;&gt;0,($G141)*(H$1031/$G$1031),0)</f>
        <v>0</v>
      </c>
      <c r="I141" s="48">
        <f>IF($G$1031&lt;&gt;0,($G141)*(I$1031/$G$1031),0)</f>
        <v>0</v>
      </c>
      <c r="J141" s="20">
        <f>IF($E$1149=1,($G141),IF($E$1149=2,($G141),IF($E$1149=3,0,IF($E$1149=4,($H141),IF($E$1149=5,($I141),0)))))</f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v>0</v>
      </c>
    </row>
    <row r="142" spans="1:19" x14ac:dyDescent="0.2">
      <c r="A142" s="13">
        <f t="shared" si="41"/>
        <v>142</v>
      </c>
      <c r="B142" s="4" t="s">
        <v>5</v>
      </c>
      <c r="C142" s="4" t="s">
        <v>77</v>
      </c>
      <c r="D142" s="43" t="s">
        <v>5</v>
      </c>
      <c r="E142" s="44" t="s">
        <v>5</v>
      </c>
      <c r="F142" s="45"/>
      <c r="G142" s="46">
        <f>SUM(G140:G141)</f>
        <v>390266.18</v>
      </c>
      <c r="H142" s="46">
        <f>SUM(H140:H141)</f>
        <v>374712.50526843383</v>
      </c>
      <c r="I142" s="46">
        <f>SUM(I140:I141)</f>
        <v>15553.674731566218</v>
      </c>
      <c r="J142" s="20">
        <f>IF($E$1149=1,($G142),IF($E$1149=2,($G142),IF($E$1149=3,0,IF($E$1149=4,($H142),IF($E$1149=5,($I142),0)))))</f>
        <v>0</v>
      </c>
      <c r="L142" s="21">
        <v>0</v>
      </c>
      <c r="M142" s="21">
        <v>0</v>
      </c>
      <c r="N142" s="21">
        <v>0</v>
      </c>
      <c r="O142" s="21">
        <v>0</v>
      </c>
      <c r="P142" s="21">
        <v>0</v>
      </c>
      <c r="Q142" s="21">
        <v>0</v>
      </c>
      <c r="R142" s="21">
        <v>0</v>
      </c>
      <c r="S142" s="21">
        <v>0</v>
      </c>
    </row>
    <row r="143" spans="1:19" x14ac:dyDescent="0.2">
      <c r="A143" s="13">
        <f t="shared" si="41"/>
        <v>143</v>
      </c>
      <c r="B143" s="4"/>
      <c r="C143" s="4"/>
      <c r="D143" s="43" t="s">
        <v>5</v>
      </c>
      <c r="E143" s="44" t="s">
        <v>5</v>
      </c>
      <c r="F143" s="45"/>
      <c r="G143" s="46"/>
      <c r="H143" s="46"/>
      <c r="I143" s="46"/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1">
        <v>0</v>
      </c>
      <c r="R143" s="21">
        <v>0</v>
      </c>
      <c r="S143" s="21">
        <v>0</v>
      </c>
    </row>
    <row r="144" spans="1:19" x14ac:dyDescent="0.2">
      <c r="A144" s="13">
        <f t="shared" si="41"/>
        <v>144</v>
      </c>
      <c r="B144" s="4"/>
      <c r="C144" s="4" t="s">
        <v>78</v>
      </c>
      <c r="D144" s="43" t="s">
        <v>5</v>
      </c>
      <c r="E144" s="44" t="s">
        <v>5</v>
      </c>
      <c r="F144" s="45"/>
      <c r="G144" s="46">
        <f>SUM(G111+G116+G121+G127+G132+G137+G142)</f>
        <v>1278373223.28</v>
      </c>
      <c r="H144" s="46">
        <f>SUM(H111+H116+H121+H127+H132+H137+H142)</f>
        <v>1227335494.3762131</v>
      </c>
      <c r="I144" s="46">
        <f>SUM(I111+I116+I121+I127+I132+I137+I142)</f>
        <v>51037728.903787188</v>
      </c>
      <c r="J144" s="20">
        <f>IF($E$1149=1,($G144),IF($E$1149=2,($G144),IF($E$1149=3,0,IF($E$1149=4,($H144),IF($E$1149=5,($I144),0)))))</f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0</v>
      </c>
    </row>
    <row r="145" spans="1:19" x14ac:dyDescent="0.2">
      <c r="A145" s="13">
        <f t="shared" si="41"/>
        <v>145</v>
      </c>
      <c r="B145" s="38" t="str">
        <f>B122</f>
        <v>* * * TABLE 1 - ELECTRIC PLANT IN SERVICE * * *</v>
      </c>
      <c r="C145" s="4"/>
      <c r="D145" s="43"/>
      <c r="E145" s="44"/>
      <c r="F145" s="45"/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v>0</v>
      </c>
    </row>
    <row r="146" spans="1:19" x14ac:dyDescent="0.2">
      <c r="A146" s="13">
        <f t="shared" si="41"/>
        <v>146</v>
      </c>
      <c r="B146" s="4" t="str">
        <f>" "</f>
        <v xml:space="preserve"> </v>
      </c>
      <c r="C146" s="4"/>
      <c r="D146" s="43" t="s">
        <v>5</v>
      </c>
      <c r="E146" s="44" t="s">
        <v>5</v>
      </c>
      <c r="F146" s="45"/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21">
        <v>0</v>
      </c>
      <c r="S146" s="21">
        <v>0</v>
      </c>
    </row>
    <row r="147" spans="1:19" x14ac:dyDescent="0.2">
      <c r="A147" s="13">
        <f t="shared" si="41"/>
        <v>147</v>
      </c>
      <c r="B147" s="4" t="s">
        <v>79</v>
      </c>
      <c r="C147" s="4"/>
      <c r="D147" s="43" t="s">
        <v>5</v>
      </c>
      <c r="E147" s="44" t="s">
        <v>5</v>
      </c>
      <c r="F147" s="45"/>
      <c r="L147" s="21">
        <v>0</v>
      </c>
      <c r="M147" s="21">
        <v>0</v>
      </c>
      <c r="N147" s="21">
        <v>0</v>
      </c>
      <c r="O147" s="21">
        <v>0</v>
      </c>
      <c r="P147" s="21">
        <v>0</v>
      </c>
      <c r="Q147" s="21">
        <v>0</v>
      </c>
      <c r="R147" s="21">
        <v>0</v>
      </c>
      <c r="S147" s="21">
        <v>0</v>
      </c>
    </row>
    <row r="148" spans="1:19" x14ac:dyDescent="0.2">
      <c r="A148" s="13">
        <f t="shared" si="41"/>
        <v>148</v>
      </c>
      <c r="B148" s="4"/>
      <c r="C148" s="4"/>
      <c r="D148" s="43"/>
      <c r="E148" s="44"/>
      <c r="F148" s="45"/>
    </row>
    <row r="149" spans="1:19" x14ac:dyDescent="0.2">
      <c r="A149" s="13">
        <f t="shared" si="41"/>
        <v>149</v>
      </c>
      <c r="B149" s="4" t="s">
        <v>80</v>
      </c>
      <c r="C149" s="4"/>
      <c r="D149" s="43" t="s">
        <v>5</v>
      </c>
      <c r="E149" s="44" t="str">
        <f>(E$1032)</f>
        <v>ACCT360</v>
      </c>
      <c r="F149" s="45"/>
      <c r="G149" s="12">
        <f t="shared" ref="G149:G160" si="42">IF($E$1149=1,($L149),IF($E$1149=2,($M149),IF($E$1149=3,($N149),IF($E$1149=4,($O149),IF($E$1149=5,($P149),IF($E$1149=6,($Q149),IF($E$1149=7,($R149),IF($E$1149=8,($S149),0))))))))</f>
        <v>7524730.128461537</v>
      </c>
      <c r="H149" s="48">
        <f t="shared" ref="H149:I155" si="43">IF($G1032&lt;&gt;0,($G149)*(H1032/$G1032),0)</f>
        <v>7341253.6517761387</v>
      </c>
      <c r="I149" s="48">
        <f t="shared" si="43"/>
        <v>183476.47668539837</v>
      </c>
      <c r="J149" s="20">
        <f t="shared" ref="J149:J160" si="44">IF($E$1149=1,($G149),IF($E$1149=2,($G149),IF($E$1149=3,0,IF($E$1149=4,($H149),IF($E$1149=5,($I149),0)))))</f>
        <v>0</v>
      </c>
      <c r="L149" s="21">
        <v>7524730.128461537</v>
      </c>
      <c r="M149" s="21">
        <v>7524730.128461537</v>
      </c>
      <c r="N149" s="21">
        <v>7524730.128461537</v>
      </c>
      <c r="O149" s="21">
        <v>7524730.128461537</v>
      </c>
      <c r="P149" s="21">
        <v>7524730.128461537</v>
      </c>
      <c r="Q149" s="21">
        <v>7524730.128461537</v>
      </c>
      <c r="R149" s="21">
        <v>7524730.128461537</v>
      </c>
      <c r="S149" s="21">
        <v>7524730.128461537</v>
      </c>
    </row>
    <row r="150" spans="1:19" x14ac:dyDescent="0.2">
      <c r="A150" s="13">
        <f t="shared" si="41"/>
        <v>150</v>
      </c>
      <c r="B150" s="4" t="s">
        <v>81</v>
      </c>
      <c r="C150" s="4"/>
      <c r="D150" s="43" t="s">
        <v>5</v>
      </c>
      <c r="E150" s="44" t="str">
        <f>(E$1033)</f>
        <v>ACCT361</v>
      </c>
      <c r="F150" s="45"/>
      <c r="G150" s="12">
        <f t="shared" si="42"/>
        <v>51055211.347692274</v>
      </c>
      <c r="H150" s="48">
        <f t="shared" si="43"/>
        <v>48477974.945305504</v>
      </c>
      <c r="I150" s="48">
        <f t="shared" si="43"/>
        <v>2577236.4023867701</v>
      </c>
      <c r="J150" s="20">
        <f t="shared" si="44"/>
        <v>0</v>
      </c>
      <c r="L150" s="21">
        <v>51055211.347692274</v>
      </c>
      <c r="M150" s="21">
        <v>51055211.347692274</v>
      </c>
      <c r="N150" s="21">
        <v>51055211.347692274</v>
      </c>
      <c r="O150" s="21">
        <v>51055211.347692274</v>
      </c>
      <c r="P150" s="21">
        <v>51055211.347692274</v>
      </c>
      <c r="Q150" s="21">
        <v>51055211.347692274</v>
      </c>
      <c r="R150" s="21">
        <v>51055211.347692274</v>
      </c>
      <c r="S150" s="21">
        <v>51055211.347692274</v>
      </c>
    </row>
    <row r="151" spans="1:19" x14ac:dyDescent="0.2">
      <c r="A151" s="13">
        <f t="shared" si="41"/>
        <v>151</v>
      </c>
      <c r="B151" s="4" t="s">
        <v>82</v>
      </c>
      <c r="C151" s="4"/>
      <c r="D151" s="43" t="s">
        <v>5</v>
      </c>
      <c r="E151" s="44" t="str">
        <f>(E$1034)</f>
        <v>ACCT362</v>
      </c>
      <c r="F151" s="45"/>
      <c r="G151" s="12">
        <f t="shared" si="42"/>
        <v>293239111.79615444</v>
      </c>
      <c r="H151" s="48">
        <f t="shared" si="43"/>
        <v>280616183.97136885</v>
      </c>
      <c r="I151" s="48">
        <f t="shared" si="43"/>
        <v>12622927.824785605</v>
      </c>
      <c r="J151" s="20">
        <f t="shared" si="44"/>
        <v>0</v>
      </c>
      <c r="L151" s="21">
        <v>293239111.79615444</v>
      </c>
      <c r="M151" s="21">
        <v>293239111.79615444</v>
      </c>
      <c r="N151" s="21">
        <v>293239111.79615444</v>
      </c>
      <c r="O151" s="21">
        <v>293239111.79615444</v>
      </c>
      <c r="P151" s="21">
        <v>293239111.79615444</v>
      </c>
      <c r="Q151" s="21">
        <v>293239111.79615444</v>
      </c>
      <c r="R151" s="21">
        <v>293239111.79615444</v>
      </c>
      <c r="S151" s="21">
        <v>293239111.79615444</v>
      </c>
    </row>
    <row r="152" spans="1:19" x14ac:dyDescent="0.2">
      <c r="A152" s="13">
        <f t="shared" si="41"/>
        <v>152</v>
      </c>
      <c r="B152" s="4" t="s">
        <v>83</v>
      </c>
      <c r="C152" s="4"/>
      <c r="D152" s="43" t="s">
        <v>5</v>
      </c>
      <c r="E152" s="44" t="str">
        <f>(E$1035)</f>
        <v>DA364</v>
      </c>
      <c r="F152" s="45"/>
      <c r="G152" s="21">
        <f t="shared" si="42"/>
        <v>296273045.68077099</v>
      </c>
      <c r="H152" s="48">
        <f t="shared" si="43"/>
        <v>272489373.97070915</v>
      </c>
      <c r="I152" s="48">
        <f t="shared" si="43"/>
        <v>23783671.710061904</v>
      </c>
      <c r="J152" s="20">
        <f t="shared" si="44"/>
        <v>0</v>
      </c>
      <c r="L152" s="21">
        <v>296273045.68077099</v>
      </c>
      <c r="M152" s="21">
        <v>296273045.68077099</v>
      </c>
      <c r="N152" s="21">
        <v>296273045.68077099</v>
      </c>
      <c r="O152" s="21">
        <v>296273045.68077099</v>
      </c>
      <c r="P152" s="21">
        <v>296273045.68077099</v>
      </c>
      <c r="Q152" s="21">
        <v>296273045.68077099</v>
      </c>
      <c r="R152" s="21">
        <v>296273045.68077099</v>
      </c>
      <c r="S152" s="21">
        <v>296273045.68077099</v>
      </c>
    </row>
    <row r="153" spans="1:19" x14ac:dyDescent="0.2">
      <c r="A153" s="13">
        <f t="shared" si="41"/>
        <v>153</v>
      </c>
      <c r="B153" s="4" t="s">
        <v>84</v>
      </c>
      <c r="C153" s="4"/>
      <c r="D153" s="43" t="s">
        <v>5</v>
      </c>
      <c r="E153" s="44" t="str">
        <f>(E$1036)</f>
        <v>DA365</v>
      </c>
      <c r="F153" s="45"/>
      <c r="G153" s="21">
        <f t="shared" si="42"/>
        <v>148575497.89153799</v>
      </c>
      <c r="H153" s="48">
        <f t="shared" si="43"/>
        <v>139471064.48144376</v>
      </c>
      <c r="I153" s="48">
        <f t="shared" si="43"/>
        <v>9104433.4100942425</v>
      </c>
      <c r="J153" s="20">
        <f t="shared" si="44"/>
        <v>0</v>
      </c>
      <c r="L153" s="21">
        <v>148575497.89153799</v>
      </c>
      <c r="M153" s="21">
        <v>148575497.89153799</v>
      </c>
      <c r="N153" s="21">
        <v>148575497.89153799</v>
      </c>
      <c r="O153" s="21">
        <v>148575497.89153799</v>
      </c>
      <c r="P153" s="21">
        <v>148575497.89153799</v>
      </c>
      <c r="Q153" s="21">
        <v>148575497.89153799</v>
      </c>
      <c r="R153" s="21">
        <v>148575497.89153799</v>
      </c>
      <c r="S153" s="21">
        <v>148575497.89153799</v>
      </c>
    </row>
    <row r="154" spans="1:19" x14ac:dyDescent="0.2">
      <c r="A154" s="13">
        <f t="shared" si="41"/>
        <v>154</v>
      </c>
      <c r="B154" s="4" t="s">
        <v>85</v>
      </c>
      <c r="C154" s="4"/>
      <c r="D154" s="43" t="s">
        <v>5</v>
      </c>
      <c r="E154" s="44" t="str">
        <f>(E$1037)</f>
        <v>DA366</v>
      </c>
      <c r="F154" s="45"/>
      <c r="G154" s="21">
        <f t="shared" si="42"/>
        <v>52661172.173845403</v>
      </c>
      <c r="H154" s="48">
        <f t="shared" si="43"/>
        <v>51862710.153787091</v>
      </c>
      <c r="I154" s="48">
        <f t="shared" si="43"/>
        <v>798462.020058305</v>
      </c>
      <c r="J154" s="20">
        <f t="shared" si="44"/>
        <v>0</v>
      </c>
      <c r="L154" s="21">
        <v>52661172.173845403</v>
      </c>
      <c r="M154" s="21">
        <v>52661172.173845403</v>
      </c>
      <c r="N154" s="21">
        <v>52661172.173845403</v>
      </c>
      <c r="O154" s="21">
        <v>52661172.173845403</v>
      </c>
      <c r="P154" s="21">
        <v>52661172.173845403</v>
      </c>
      <c r="Q154" s="21">
        <v>52661172.173845403</v>
      </c>
      <c r="R154" s="21">
        <v>52661172.173845403</v>
      </c>
      <c r="S154" s="21">
        <v>52661172.173845403</v>
      </c>
    </row>
    <row r="155" spans="1:19" x14ac:dyDescent="0.2">
      <c r="A155" s="13">
        <f t="shared" si="41"/>
        <v>155</v>
      </c>
      <c r="B155" s="4" t="s">
        <v>86</v>
      </c>
      <c r="C155" s="4"/>
      <c r="D155" s="43" t="s">
        <v>5</v>
      </c>
      <c r="E155" s="44" t="str">
        <f>(E$1038)</f>
        <v>DA367</v>
      </c>
      <c r="F155" s="45"/>
      <c r="G155" s="21">
        <f t="shared" si="42"/>
        <v>305663738.48615098</v>
      </c>
      <c r="H155" s="48">
        <f t="shared" si="43"/>
        <v>301060490.99620891</v>
      </c>
      <c r="I155" s="48">
        <f t="shared" si="43"/>
        <v>4603247.4899420328</v>
      </c>
      <c r="J155" s="20">
        <f t="shared" si="44"/>
        <v>0</v>
      </c>
      <c r="L155" s="21">
        <v>305663738.48615098</v>
      </c>
      <c r="M155" s="21">
        <v>305663738.48615098</v>
      </c>
      <c r="N155" s="21">
        <v>305663738.48615098</v>
      </c>
      <c r="O155" s="21">
        <v>305663738.48615098</v>
      </c>
      <c r="P155" s="21">
        <v>305663738.48615098</v>
      </c>
      <c r="Q155" s="21">
        <v>305663738.48615098</v>
      </c>
      <c r="R155" s="21">
        <v>305663738.48615098</v>
      </c>
      <c r="S155" s="21">
        <v>305663738.48615098</v>
      </c>
    </row>
    <row r="156" spans="1:19" x14ac:dyDescent="0.2">
      <c r="A156" s="13">
        <f t="shared" si="41"/>
        <v>156</v>
      </c>
      <c r="B156" s="4" t="s">
        <v>87</v>
      </c>
      <c r="C156" s="4"/>
      <c r="D156" s="43" t="s">
        <v>5</v>
      </c>
      <c r="E156" s="44" t="str">
        <f>(E$1007)</f>
        <v>D60</v>
      </c>
      <c r="F156" s="45"/>
      <c r="G156" s="21">
        <f t="shared" si="42"/>
        <v>662332483.23492444</v>
      </c>
      <c r="H156" s="48">
        <f>IF($G1007&lt;&gt;0,($G156)*(H1007/$G1007),0)</f>
        <v>638060964.92818296</v>
      </c>
      <c r="I156" s="48">
        <f>IF($G1007&lt;&gt;0,($G156)*(I1007/$G1007),0)</f>
        <v>24271518.306741502</v>
      </c>
      <c r="J156" s="20">
        <f t="shared" si="44"/>
        <v>0</v>
      </c>
      <c r="L156" s="21">
        <v>662332483.23492444</v>
      </c>
      <c r="M156" s="21">
        <v>662332483.23492444</v>
      </c>
      <c r="N156" s="21">
        <v>662332483.23492444</v>
      </c>
      <c r="O156" s="21">
        <v>662332483.23492444</v>
      </c>
      <c r="P156" s="21">
        <v>662332483.23492444</v>
      </c>
      <c r="Q156" s="21">
        <v>662332483.23492444</v>
      </c>
      <c r="R156" s="21">
        <v>662332483.23492444</v>
      </c>
      <c r="S156" s="21">
        <v>662332483.23492444</v>
      </c>
    </row>
    <row r="157" spans="1:19" x14ac:dyDescent="0.2">
      <c r="A157" s="13">
        <f t="shared" si="41"/>
        <v>157</v>
      </c>
      <c r="B157" s="4" t="s">
        <v>88</v>
      </c>
      <c r="C157" s="4"/>
      <c r="D157" s="43" t="s">
        <v>5</v>
      </c>
      <c r="E157" s="44" t="str">
        <f>(E$1015)</f>
        <v>DA369</v>
      </c>
      <c r="F157" s="45"/>
      <c r="G157" s="21">
        <f t="shared" si="42"/>
        <v>65418651.681538433</v>
      </c>
      <c r="H157" s="48">
        <f>IF($G1015&lt;&gt;0,($G157)*(H1015/$G1015),0)</f>
        <v>62662268.991473615</v>
      </c>
      <c r="I157" s="48">
        <f>IF($G1015&lt;&gt;0,($G157)*(I1015/$G1015),0)</f>
        <v>2756382.69006482</v>
      </c>
      <c r="J157" s="20">
        <f t="shared" si="44"/>
        <v>0</v>
      </c>
      <c r="L157" s="21">
        <v>65418651.681538433</v>
      </c>
      <c r="M157" s="21">
        <v>65418651.681538433</v>
      </c>
      <c r="N157" s="21">
        <v>65418651.681538433</v>
      </c>
      <c r="O157" s="21">
        <v>65418651.681538433</v>
      </c>
      <c r="P157" s="21">
        <v>65418651.681538433</v>
      </c>
      <c r="Q157" s="21">
        <v>65418651.681538433</v>
      </c>
      <c r="R157" s="21">
        <v>65418651.681538433</v>
      </c>
      <c r="S157" s="21">
        <v>65418651.681538433</v>
      </c>
    </row>
    <row r="158" spans="1:19" x14ac:dyDescent="0.2">
      <c r="A158" s="13">
        <f t="shared" si="41"/>
        <v>158</v>
      </c>
      <c r="B158" s="4" t="s">
        <v>89</v>
      </c>
      <c r="C158" s="3"/>
      <c r="D158" s="43" t="s">
        <v>5</v>
      </c>
      <c r="E158" s="44" t="str">
        <f>(E$1016)</f>
        <v>ACCT370</v>
      </c>
      <c r="F158" s="45"/>
      <c r="G158" s="21">
        <f t="shared" si="42"/>
        <v>108912464.55</v>
      </c>
      <c r="H158" s="48">
        <f>IF($G1016&lt;&gt;0,($G158)*(H1016/$G1016),0)</f>
        <v>105282693.0815496</v>
      </c>
      <c r="I158" s="48">
        <f>IF($G1016&lt;&gt;0,($G158)*(I1016/$G1016),0)</f>
        <v>3629771.4684504042</v>
      </c>
      <c r="J158" s="20">
        <f t="shared" si="44"/>
        <v>0</v>
      </c>
      <c r="L158" s="21">
        <v>108912464.55</v>
      </c>
      <c r="M158" s="21">
        <v>108912464.55</v>
      </c>
      <c r="N158" s="21">
        <v>108912464.55</v>
      </c>
      <c r="O158" s="21">
        <v>108912464.55</v>
      </c>
      <c r="P158" s="21">
        <v>108912464.55</v>
      </c>
      <c r="Q158" s="21">
        <v>108912464.55</v>
      </c>
      <c r="R158" s="21">
        <v>108912464.55</v>
      </c>
      <c r="S158" s="21">
        <v>108912464.55</v>
      </c>
    </row>
    <row r="159" spans="1:19" x14ac:dyDescent="0.2">
      <c r="A159" s="13">
        <f t="shared" si="41"/>
        <v>159</v>
      </c>
      <c r="B159" s="4" t="s">
        <v>90</v>
      </c>
      <c r="C159" s="4"/>
      <c r="D159" s="43" t="s">
        <v>5</v>
      </c>
      <c r="E159" s="44" t="str">
        <f>(E$1039)</f>
        <v>DA371</v>
      </c>
      <c r="F159" s="45"/>
      <c r="G159" s="21">
        <f t="shared" si="42"/>
        <v>4554875.528461555</v>
      </c>
      <c r="H159" s="48">
        <f>IF($G1039&lt;&gt;0,($G159)*(H1039/$G1039),0)</f>
        <v>4281072.8685540333</v>
      </c>
      <c r="I159" s="48">
        <f>IF($G1039&lt;&gt;0,($G159)*(I1039/$G1039),0)</f>
        <v>273802.65990752104</v>
      </c>
      <c r="J159" s="20">
        <f t="shared" si="44"/>
        <v>0</v>
      </c>
      <c r="L159" s="21">
        <v>4554875.528461555</v>
      </c>
      <c r="M159" s="21">
        <v>4554875.528461555</v>
      </c>
      <c r="N159" s="21">
        <v>4554875.528461555</v>
      </c>
      <c r="O159" s="21">
        <v>4554875.528461555</v>
      </c>
      <c r="P159" s="21">
        <v>4554875.528461555</v>
      </c>
      <c r="Q159" s="21">
        <v>4554875.528461555</v>
      </c>
      <c r="R159" s="21">
        <v>4554875.528461555</v>
      </c>
      <c r="S159" s="21">
        <v>4554875.528461555</v>
      </c>
    </row>
    <row r="160" spans="1:19" x14ac:dyDescent="0.2">
      <c r="A160" s="13">
        <f t="shared" si="41"/>
        <v>160</v>
      </c>
      <c r="B160" s="4" t="s">
        <v>91</v>
      </c>
      <c r="C160" s="4"/>
      <c r="D160" s="43" t="s">
        <v>5</v>
      </c>
      <c r="E160" s="44" t="str">
        <f>(E$1040)</f>
        <v>DA373</v>
      </c>
      <c r="F160" s="45"/>
      <c r="G160" s="21">
        <f t="shared" si="42"/>
        <v>5182728.0507692266</v>
      </c>
      <c r="H160" s="48">
        <f>IF($G1040&lt;&gt;0,($G160)*(H1040/$G1040),0)</f>
        <v>4956649.8707356723</v>
      </c>
      <c r="I160" s="48">
        <f>IF($G1040&lt;&gt;0,($G160)*(I1040/$G1040),0)</f>
        <v>226078.18003355482</v>
      </c>
      <c r="J160" s="20">
        <f t="shared" si="44"/>
        <v>0</v>
      </c>
      <c r="L160" s="21">
        <v>5182728.0507692266</v>
      </c>
      <c r="M160" s="21">
        <v>5182728.0507692266</v>
      </c>
      <c r="N160" s="21">
        <v>5182728.0507692266</v>
      </c>
      <c r="O160" s="21">
        <v>5182728.0507692266</v>
      </c>
      <c r="P160" s="21">
        <v>5182728.0507692266</v>
      </c>
      <c r="Q160" s="21">
        <v>5182728.0507692266</v>
      </c>
      <c r="R160" s="21">
        <v>5182728.0507692266</v>
      </c>
      <c r="S160" s="21">
        <v>5182728.0507692266</v>
      </c>
    </row>
    <row r="161" spans="1:19" x14ac:dyDescent="0.2">
      <c r="A161" s="13">
        <f t="shared" si="41"/>
        <v>161</v>
      </c>
      <c r="B161" s="4"/>
      <c r="C161" s="4"/>
      <c r="D161" s="43"/>
      <c r="E161" s="44"/>
      <c r="F161" s="45"/>
      <c r="G161" s="21"/>
      <c r="H161" s="48"/>
      <c r="I161" s="48"/>
    </row>
    <row r="162" spans="1:19" x14ac:dyDescent="0.2">
      <c r="A162" s="13">
        <f t="shared" si="41"/>
        <v>162</v>
      </c>
      <c r="B162" s="4" t="s">
        <v>5</v>
      </c>
      <c r="C162" s="4" t="s">
        <v>92</v>
      </c>
      <c r="D162" s="43" t="s">
        <v>5</v>
      </c>
      <c r="E162" s="44" t="s">
        <v>5</v>
      </c>
      <c r="F162" s="45"/>
      <c r="G162" s="46">
        <f>SUM(G149:G160)</f>
        <v>2001393710.5503073</v>
      </c>
      <c r="H162" s="46">
        <f t="shared" ref="H162:I162" si="45">SUM(H149:H160)</f>
        <v>1916562701.9110956</v>
      </c>
      <c r="I162" s="46">
        <f t="shared" si="45"/>
        <v>84831008.639212042</v>
      </c>
      <c r="J162" s="20">
        <f>IF($E$1149=1,($G162),IF($E$1149=2,($G162),IF($E$1149=3,0,IF($E$1149=4,($H162),IF($E$1149=5,($I162),0)))))</f>
        <v>0</v>
      </c>
      <c r="L162" s="21">
        <v>0</v>
      </c>
      <c r="M162" s="21">
        <v>0</v>
      </c>
      <c r="N162" s="21">
        <v>0</v>
      </c>
      <c r="O162" s="21">
        <v>0</v>
      </c>
      <c r="P162" s="21">
        <v>0</v>
      </c>
      <c r="Q162" s="21">
        <v>0</v>
      </c>
      <c r="R162" s="21">
        <v>0</v>
      </c>
      <c r="S162" s="21">
        <v>0</v>
      </c>
    </row>
    <row r="163" spans="1:19" x14ac:dyDescent="0.2">
      <c r="A163" s="13">
        <f t="shared" si="41"/>
        <v>163</v>
      </c>
      <c r="B163" s="4" t="s">
        <v>5</v>
      </c>
      <c r="C163" s="4" t="s">
        <v>5</v>
      </c>
      <c r="D163" s="43" t="s">
        <v>5</v>
      </c>
      <c r="E163" s="44" t="s">
        <v>5</v>
      </c>
      <c r="F163" s="45"/>
      <c r="L163" s="21">
        <v>0</v>
      </c>
      <c r="M163" s="21">
        <v>0</v>
      </c>
      <c r="N163" s="21">
        <v>0</v>
      </c>
      <c r="O163" s="21">
        <v>0</v>
      </c>
      <c r="P163" s="21">
        <v>0</v>
      </c>
      <c r="Q163" s="21">
        <v>0</v>
      </c>
      <c r="R163" s="21">
        <v>0</v>
      </c>
      <c r="S163" s="21">
        <v>0</v>
      </c>
    </row>
    <row r="164" spans="1:19" x14ac:dyDescent="0.2">
      <c r="A164" s="13">
        <f t="shared" si="41"/>
        <v>164</v>
      </c>
      <c r="B164" s="4" t="s">
        <v>93</v>
      </c>
      <c r="C164" s="4"/>
      <c r="D164" s="43" t="s">
        <v>5</v>
      </c>
      <c r="E164" s="44" t="s">
        <v>5</v>
      </c>
      <c r="F164" s="45"/>
      <c r="L164" s="21">
        <v>0</v>
      </c>
      <c r="M164" s="21">
        <v>0</v>
      </c>
      <c r="N164" s="21">
        <v>0</v>
      </c>
      <c r="O164" s="21">
        <v>0</v>
      </c>
      <c r="P164" s="21">
        <v>0</v>
      </c>
      <c r="Q164" s="21">
        <v>0</v>
      </c>
      <c r="R164" s="21">
        <v>0</v>
      </c>
      <c r="S164" s="21">
        <v>0</v>
      </c>
    </row>
    <row r="165" spans="1:19" x14ac:dyDescent="0.2">
      <c r="A165" s="13">
        <f t="shared" si="41"/>
        <v>165</v>
      </c>
      <c r="B165" s="4" t="s">
        <v>94</v>
      </c>
      <c r="C165" s="4"/>
      <c r="D165" s="43" t="s">
        <v>5</v>
      </c>
      <c r="E165" s="44" t="str">
        <f t="shared" ref="E165:E174" si="46">(E$1055)</f>
        <v>PTD</v>
      </c>
      <c r="F165" s="45"/>
      <c r="G165" s="21">
        <f t="shared" ref="G165:G174" si="47">IF($E$1149=1,($L165),IF($E$1149=2,($M165),IF($E$1149=3,($N165),IF($E$1149=4,($O165),IF($E$1149=5,($P165),IF($E$1149=6,($Q165),IF($E$1149=7,($R165),IF($E$1149=8,($S165),0))))))))</f>
        <v>20254793.978461534</v>
      </c>
      <c r="H165" s="48">
        <f t="shared" ref="H165:I174" si="48">IF($G$1055&lt;&gt;0,($G165)*(H$1055/$G$1055),0)</f>
        <v>19428824.28417103</v>
      </c>
      <c r="I165" s="48">
        <f t="shared" si="48"/>
        <v>825969.69429050677</v>
      </c>
      <c r="J165" s="20">
        <f t="shared" ref="J165:J174" si="49">IF($E$1149=1,($G165),IF($E$1149=2,($G165),IF($E$1149=3,0,IF($E$1149=4,($H165),IF($E$1149=5,($I165),0)))))</f>
        <v>0</v>
      </c>
      <c r="L165" s="21">
        <v>20254793.978461534</v>
      </c>
      <c r="M165" s="21">
        <v>20254793.978461534</v>
      </c>
      <c r="N165" s="21">
        <v>20254793.978461534</v>
      </c>
      <c r="O165" s="21">
        <v>20254793.978461534</v>
      </c>
      <c r="P165" s="21">
        <v>20254793.978461534</v>
      </c>
      <c r="Q165" s="21">
        <v>20254793.978461534</v>
      </c>
      <c r="R165" s="21">
        <v>20254793.978461534</v>
      </c>
      <c r="S165" s="21">
        <v>20254793.978461534</v>
      </c>
    </row>
    <row r="166" spans="1:19" x14ac:dyDescent="0.2">
      <c r="A166" s="13">
        <f t="shared" si="41"/>
        <v>166</v>
      </c>
      <c r="B166" s="4" t="s">
        <v>95</v>
      </c>
      <c r="C166" s="4"/>
      <c r="D166" s="43" t="s">
        <v>5</v>
      </c>
      <c r="E166" s="44" t="str">
        <f t="shared" si="46"/>
        <v>PTD</v>
      </c>
      <c r="F166" s="45"/>
      <c r="G166" s="21">
        <f t="shared" si="47"/>
        <v>141121848.94615382</v>
      </c>
      <c r="H166" s="48">
        <f t="shared" si="48"/>
        <v>135367044.89553177</v>
      </c>
      <c r="I166" s="48">
        <f t="shared" si="48"/>
        <v>5754804.05062206</v>
      </c>
      <c r="J166" s="20">
        <f t="shared" si="49"/>
        <v>0</v>
      </c>
      <c r="L166" s="21">
        <v>141121848.94615382</v>
      </c>
      <c r="M166" s="21">
        <v>141121848.94615382</v>
      </c>
      <c r="N166" s="21">
        <v>141121848.94615382</v>
      </c>
      <c r="O166" s="21">
        <v>141121848.94615382</v>
      </c>
      <c r="P166" s="21">
        <v>141121848.94615382</v>
      </c>
      <c r="Q166" s="21">
        <v>141121848.94615382</v>
      </c>
      <c r="R166" s="21">
        <v>141121848.94615382</v>
      </c>
      <c r="S166" s="21">
        <v>141121848.94615382</v>
      </c>
    </row>
    <row r="167" spans="1:19" x14ac:dyDescent="0.2">
      <c r="A167" s="13">
        <f t="shared" si="41"/>
        <v>167</v>
      </c>
      <c r="B167" s="4" t="s">
        <v>96</v>
      </c>
      <c r="C167" s="4"/>
      <c r="D167" s="43" t="s">
        <v>5</v>
      </c>
      <c r="E167" s="44" t="str">
        <f t="shared" si="46"/>
        <v>PTD</v>
      </c>
      <c r="F167" s="45"/>
      <c r="G167" s="21">
        <f t="shared" si="47"/>
        <v>42220640.633076876</v>
      </c>
      <c r="H167" s="48">
        <f t="shared" si="48"/>
        <v>40498926.273822725</v>
      </c>
      <c r="I167" s="48">
        <f t="shared" si="48"/>
        <v>1721714.3592541569</v>
      </c>
      <c r="J167" s="20">
        <f t="shared" si="49"/>
        <v>0</v>
      </c>
      <c r="L167" s="21">
        <v>42220640.633076876</v>
      </c>
      <c r="M167" s="21">
        <v>42220640.633076876</v>
      </c>
      <c r="N167" s="21">
        <v>42220640.633076876</v>
      </c>
      <c r="O167" s="21">
        <v>42220640.633076876</v>
      </c>
      <c r="P167" s="21">
        <v>42220640.633076876</v>
      </c>
      <c r="Q167" s="21">
        <v>42220640.633076876</v>
      </c>
      <c r="R167" s="21">
        <v>42220640.633076876</v>
      </c>
      <c r="S167" s="21">
        <v>42220640.633076876</v>
      </c>
    </row>
    <row r="168" spans="1:19" x14ac:dyDescent="0.2">
      <c r="A168" s="13">
        <f t="shared" si="41"/>
        <v>168</v>
      </c>
      <c r="B168" s="4" t="s">
        <v>97</v>
      </c>
      <c r="C168" s="4"/>
      <c r="D168" s="43" t="s">
        <v>5</v>
      </c>
      <c r="E168" s="44" t="str">
        <f t="shared" si="46"/>
        <v>PTD</v>
      </c>
      <c r="F168" s="45"/>
      <c r="G168" s="21">
        <f t="shared" si="47"/>
        <v>110059857.19538456</v>
      </c>
      <c r="H168" s="48">
        <f t="shared" si="48"/>
        <v>105571729.26389359</v>
      </c>
      <c r="I168" s="48">
        <f t="shared" si="48"/>
        <v>4488127.9314909847</v>
      </c>
      <c r="J168" s="20">
        <f t="shared" si="49"/>
        <v>0</v>
      </c>
      <c r="L168" s="21">
        <v>110059857.19538456</v>
      </c>
      <c r="M168" s="21">
        <v>110059857.19538456</v>
      </c>
      <c r="N168" s="21">
        <v>110059857.19538456</v>
      </c>
      <c r="O168" s="21">
        <v>110059857.19538456</v>
      </c>
      <c r="P168" s="21">
        <v>110059857.19538456</v>
      </c>
      <c r="Q168" s="21">
        <v>110059857.19538456</v>
      </c>
      <c r="R168" s="21">
        <v>110059857.19538456</v>
      </c>
      <c r="S168" s="21">
        <v>110059857.19538456</v>
      </c>
    </row>
    <row r="169" spans="1:19" x14ac:dyDescent="0.2">
      <c r="A169" s="13">
        <f t="shared" si="41"/>
        <v>169</v>
      </c>
      <c r="B169" s="4" t="s">
        <v>98</v>
      </c>
      <c r="C169" s="4"/>
      <c r="D169" s="43"/>
      <c r="E169" s="44" t="str">
        <f t="shared" si="46"/>
        <v>PTD</v>
      </c>
      <c r="F169" s="45"/>
      <c r="G169" s="21">
        <f t="shared" si="47"/>
        <v>4368769.0830769232</v>
      </c>
      <c r="H169" s="48">
        <f t="shared" si="48"/>
        <v>4190615.1671293201</v>
      </c>
      <c r="I169" s="48">
        <f t="shared" si="48"/>
        <v>178153.91594760361</v>
      </c>
      <c r="J169" s="20">
        <f t="shared" si="49"/>
        <v>0</v>
      </c>
      <c r="L169" s="21">
        <v>4368769.0830769232</v>
      </c>
      <c r="M169" s="21">
        <v>4368769.0830769232</v>
      </c>
      <c r="N169" s="21">
        <v>4368769.0830769232</v>
      </c>
      <c r="O169" s="21">
        <v>4368769.0830769232</v>
      </c>
      <c r="P169" s="21">
        <v>4368769.0830769232</v>
      </c>
      <c r="Q169" s="21">
        <v>4368769.0830769232</v>
      </c>
      <c r="R169" s="21">
        <v>4368769.0830769232</v>
      </c>
      <c r="S169" s="21">
        <v>4368769.0830769232</v>
      </c>
    </row>
    <row r="170" spans="1:19" x14ac:dyDescent="0.2">
      <c r="A170" s="13">
        <f t="shared" si="41"/>
        <v>170</v>
      </c>
      <c r="B170" s="4" t="s">
        <v>99</v>
      </c>
      <c r="C170" s="4"/>
      <c r="D170" s="43" t="s">
        <v>5</v>
      </c>
      <c r="E170" s="44" t="str">
        <f t="shared" si="46"/>
        <v>PTD</v>
      </c>
      <c r="F170" s="45"/>
      <c r="G170" s="21">
        <f t="shared" si="47"/>
        <v>12242606.564615374</v>
      </c>
      <c r="H170" s="48">
        <f t="shared" si="48"/>
        <v>11743365.643564923</v>
      </c>
      <c r="I170" s="48">
        <f t="shared" si="48"/>
        <v>499240.92105045333</v>
      </c>
      <c r="J170" s="20">
        <f t="shared" si="49"/>
        <v>0</v>
      </c>
      <c r="L170" s="21">
        <v>12242606.564615374</v>
      </c>
      <c r="M170" s="21">
        <v>12242606.564615374</v>
      </c>
      <c r="N170" s="21">
        <v>12242606.564615374</v>
      </c>
      <c r="O170" s="21">
        <v>12242606.564615374</v>
      </c>
      <c r="P170" s="21">
        <v>12242606.564615374</v>
      </c>
      <c r="Q170" s="21">
        <v>12242606.564615374</v>
      </c>
      <c r="R170" s="21">
        <v>12242606.564615374</v>
      </c>
      <c r="S170" s="21">
        <v>12242606.564615374</v>
      </c>
    </row>
    <row r="171" spans="1:19" x14ac:dyDescent="0.2">
      <c r="A171" s="13">
        <f t="shared" si="41"/>
        <v>171</v>
      </c>
      <c r="B171" s="4" t="s">
        <v>100</v>
      </c>
      <c r="C171" s="4"/>
      <c r="D171" s="43" t="s">
        <v>5</v>
      </c>
      <c r="E171" s="44" t="str">
        <f t="shared" si="46"/>
        <v>PTD</v>
      </c>
      <c r="F171" s="45"/>
      <c r="G171" s="21">
        <f t="shared" si="47"/>
        <v>14971725.096923072</v>
      </c>
      <c r="H171" s="48">
        <f t="shared" si="48"/>
        <v>14361193.525263693</v>
      </c>
      <c r="I171" s="48">
        <f t="shared" si="48"/>
        <v>610531.57165937952</v>
      </c>
      <c r="J171" s="20">
        <f t="shared" si="49"/>
        <v>0</v>
      </c>
      <c r="L171" s="21">
        <v>14971725.096923072</v>
      </c>
      <c r="M171" s="21">
        <v>14971725.096923072</v>
      </c>
      <c r="N171" s="21">
        <v>14971725.096923072</v>
      </c>
      <c r="O171" s="21">
        <v>14971725.096923072</v>
      </c>
      <c r="P171" s="21">
        <v>14971725.096923072</v>
      </c>
      <c r="Q171" s="21">
        <v>14971725.096923072</v>
      </c>
      <c r="R171" s="21">
        <v>14971725.096923072</v>
      </c>
      <c r="S171" s="21">
        <v>14971725.096923072</v>
      </c>
    </row>
    <row r="172" spans="1:19" x14ac:dyDescent="0.2">
      <c r="A172" s="13">
        <f t="shared" si="41"/>
        <v>172</v>
      </c>
      <c r="B172" s="4" t="s">
        <v>101</v>
      </c>
      <c r="C172" s="4"/>
      <c r="D172" s="43" t="s">
        <v>5</v>
      </c>
      <c r="E172" s="44" t="str">
        <f t="shared" si="46"/>
        <v>PTD</v>
      </c>
      <c r="F172" s="45"/>
      <c r="G172" s="21">
        <f t="shared" si="47"/>
        <v>23782902.870000005</v>
      </c>
      <c r="H172" s="48">
        <f t="shared" si="48"/>
        <v>22813060.51891198</v>
      </c>
      <c r="I172" s="48">
        <f t="shared" si="48"/>
        <v>969842.35108802572</v>
      </c>
      <c r="J172" s="20">
        <f t="shared" si="49"/>
        <v>0</v>
      </c>
      <c r="L172" s="21">
        <v>23782902.870000005</v>
      </c>
      <c r="M172" s="21">
        <v>23782902.870000005</v>
      </c>
      <c r="N172" s="21">
        <v>23782902.870000005</v>
      </c>
      <c r="O172" s="21">
        <v>23782902.870000005</v>
      </c>
      <c r="P172" s="21">
        <v>23782902.870000005</v>
      </c>
      <c r="Q172" s="21">
        <v>23782902.870000005</v>
      </c>
      <c r="R172" s="21">
        <v>23782902.870000005</v>
      </c>
      <c r="S172" s="21">
        <v>23782902.870000005</v>
      </c>
    </row>
    <row r="173" spans="1:19" x14ac:dyDescent="0.2">
      <c r="A173" s="13">
        <f t="shared" si="41"/>
        <v>173</v>
      </c>
      <c r="B173" s="4" t="s">
        <v>102</v>
      </c>
      <c r="C173" s="4"/>
      <c r="D173" s="43" t="s">
        <v>5</v>
      </c>
      <c r="E173" s="44" t="str">
        <f t="shared" si="46"/>
        <v>PTD</v>
      </c>
      <c r="F173" s="45"/>
      <c r="G173" s="21">
        <f t="shared" si="47"/>
        <v>67701372.829231158</v>
      </c>
      <c r="H173" s="48">
        <f t="shared" si="48"/>
        <v>64940580.382846817</v>
      </c>
      <c r="I173" s="48">
        <f t="shared" si="48"/>
        <v>2760792.4463843433</v>
      </c>
      <c r="J173" s="20">
        <f t="shared" si="49"/>
        <v>0</v>
      </c>
      <c r="L173" s="21">
        <v>67701372.829231158</v>
      </c>
      <c r="M173" s="21">
        <v>67701372.829231158</v>
      </c>
      <c r="N173" s="21">
        <v>67701372.829231158</v>
      </c>
      <c r="O173" s="21">
        <v>67701372.829231158</v>
      </c>
      <c r="P173" s="21">
        <v>67701372.829231158</v>
      </c>
      <c r="Q173" s="21">
        <v>67701372.829231158</v>
      </c>
      <c r="R173" s="21">
        <v>67701372.829231158</v>
      </c>
      <c r="S173" s="21">
        <v>67701372.829231158</v>
      </c>
    </row>
    <row r="174" spans="1:19" x14ac:dyDescent="0.2">
      <c r="A174" s="13">
        <f t="shared" si="41"/>
        <v>174</v>
      </c>
      <c r="B174" s="4" t="s">
        <v>103</v>
      </c>
      <c r="C174" s="4"/>
      <c r="D174" s="43" t="s">
        <v>5</v>
      </c>
      <c r="E174" s="44" t="str">
        <f t="shared" si="46"/>
        <v>PTD</v>
      </c>
      <c r="F174" s="45"/>
      <c r="G174" s="21">
        <f t="shared" si="47"/>
        <v>9266561.0230769236</v>
      </c>
      <c r="H174" s="48">
        <f t="shared" si="48"/>
        <v>8888680.1824475825</v>
      </c>
      <c r="I174" s="48">
        <f t="shared" si="48"/>
        <v>377880.84062934166</v>
      </c>
      <c r="J174" s="20">
        <f t="shared" si="49"/>
        <v>0</v>
      </c>
      <c r="L174" s="21">
        <v>9266561.0230769236</v>
      </c>
      <c r="M174" s="21">
        <v>9266561.0230769236</v>
      </c>
      <c r="N174" s="21">
        <v>9266561.0230769236</v>
      </c>
      <c r="O174" s="21">
        <v>9266561.0230769236</v>
      </c>
      <c r="P174" s="21">
        <v>9266561.0230769236</v>
      </c>
      <c r="Q174" s="21">
        <v>9266561.0230769236</v>
      </c>
      <c r="R174" s="21">
        <v>9266561.0230769236</v>
      </c>
      <c r="S174" s="21">
        <v>9266561.0230769236</v>
      </c>
    </row>
    <row r="175" spans="1:19" x14ac:dyDescent="0.2">
      <c r="A175" s="13">
        <f t="shared" si="41"/>
        <v>175</v>
      </c>
      <c r="B175" s="4" t="s">
        <v>5</v>
      </c>
      <c r="C175" s="4" t="s">
        <v>5</v>
      </c>
      <c r="D175" s="43" t="s">
        <v>5</v>
      </c>
      <c r="E175" s="44" t="s">
        <v>5</v>
      </c>
      <c r="F175" s="45"/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</row>
    <row r="176" spans="1:19" x14ac:dyDescent="0.2">
      <c r="A176" s="13">
        <f t="shared" si="41"/>
        <v>176</v>
      </c>
      <c r="B176" s="4" t="s">
        <v>5</v>
      </c>
      <c r="C176" s="4" t="s">
        <v>104</v>
      </c>
      <c r="D176" s="43" t="s">
        <v>5</v>
      </c>
      <c r="E176" s="44" t="s">
        <v>5</v>
      </c>
      <c r="F176" s="45"/>
      <c r="G176" s="46">
        <f>SUM(G165:G174)</f>
        <v>445991078.22000021</v>
      </c>
      <c r="H176" s="46">
        <f t="shared" ref="H176:I176" si="50">SUM(H165:H174)</f>
        <v>427804020.13758349</v>
      </c>
      <c r="I176" s="46">
        <f t="shared" si="50"/>
        <v>18187058.082416855</v>
      </c>
      <c r="J176" s="20">
        <f>IF($E$1149=1,($G176),IF($E$1149=2,($G176),IF($E$1149=3,0,IF($E$1149=4,($H176),IF($E$1149=5,($I176),0)))))</f>
        <v>0</v>
      </c>
      <c r="L176" s="21">
        <v>0</v>
      </c>
      <c r="M176" s="21">
        <v>0</v>
      </c>
      <c r="N176" s="21">
        <v>0</v>
      </c>
      <c r="O176" s="21">
        <v>0</v>
      </c>
      <c r="P176" s="21">
        <v>0</v>
      </c>
      <c r="Q176" s="21">
        <v>0</v>
      </c>
      <c r="R176" s="21">
        <v>0</v>
      </c>
      <c r="S176" s="21">
        <v>0</v>
      </c>
    </row>
    <row r="177" spans="1:19" x14ac:dyDescent="0.2">
      <c r="A177" s="13">
        <f t="shared" si="41"/>
        <v>177</v>
      </c>
      <c r="B177" s="4" t="s">
        <v>5</v>
      </c>
      <c r="C177" s="4" t="s">
        <v>5</v>
      </c>
      <c r="D177" s="43" t="s">
        <v>5</v>
      </c>
      <c r="E177" s="44" t="s">
        <v>5</v>
      </c>
      <c r="F177" s="45"/>
      <c r="L177" s="21">
        <v>0</v>
      </c>
      <c r="M177" s="21">
        <v>0</v>
      </c>
      <c r="N177" s="21">
        <v>0</v>
      </c>
      <c r="O177" s="21">
        <v>0</v>
      </c>
      <c r="P177" s="21">
        <v>0</v>
      </c>
      <c r="Q177" s="21">
        <v>0</v>
      </c>
      <c r="R177" s="21">
        <v>0</v>
      </c>
      <c r="S177" s="21">
        <v>0</v>
      </c>
    </row>
    <row r="178" spans="1:19" x14ac:dyDescent="0.2">
      <c r="A178" s="13">
        <f t="shared" si="41"/>
        <v>178</v>
      </c>
      <c r="B178" s="4" t="s">
        <v>105</v>
      </c>
      <c r="C178" s="4"/>
      <c r="D178" s="43" t="s">
        <v>5</v>
      </c>
      <c r="E178" s="44" t="s">
        <v>5</v>
      </c>
      <c r="F178" s="45"/>
      <c r="G178" s="46">
        <f>IF(ROUND(SUM(G97+G105+G144+G162+G176),0)=ROUND(SUM(H178:I178),0),SUM(G97+G105+G144+G162+G176),"      WRONG")</f>
        <v>6100623206.9864616</v>
      </c>
      <c r="H178" s="46">
        <f>SUM(H97+H105+H144+H162+H176)</f>
        <v>5851880262.7197924</v>
      </c>
      <c r="I178" s="46">
        <f>SUM(I97+I105+I144+I162+I176)</f>
        <v>248742944.26666987</v>
      </c>
      <c r="J178" s="20">
        <f>IF($E$1149=1,($G178),IF($E$1149=2,($G178),IF($E$1149=3,0,IF($E$1149=4,($H178),IF($E$1149=5,($I178),0)))))</f>
        <v>0</v>
      </c>
      <c r="L178" s="21">
        <v>0</v>
      </c>
      <c r="M178" s="21">
        <v>0</v>
      </c>
      <c r="N178" s="21">
        <v>0</v>
      </c>
      <c r="O178" s="21">
        <v>0</v>
      </c>
      <c r="P178" s="21">
        <v>0</v>
      </c>
      <c r="Q178" s="21">
        <v>0</v>
      </c>
      <c r="R178" s="21">
        <v>0</v>
      </c>
      <c r="S178" s="21">
        <v>0</v>
      </c>
    </row>
    <row r="179" spans="1:19" x14ac:dyDescent="0.2">
      <c r="A179" s="13">
        <f t="shared" si="41"/>
        <v>179</v>
      </c>
      <c r="B179" s="4"/>
      <c r="C179" s="4"/>
      <c r="D179" s="43" t="s">
        <v>5</v>
      </c>
      <c r="E179" s="44" t="s">
        <v>5</v>
      </c>
      <c r="F179" s="45"/>
      <c r="G179" s="42" t="str">
        <f>IF(ROUND(G178,0)=ROUND(SUM(H178:I178),0)," ","L 289 PLANT IN SERVICE IS WRONG")</f>
        <v xml:space="preserve"> </v>
      </c>
      <c r="L179" s="21">
        <v>0</v>
      </c>
      <c r="M179" s="21">
        <v>0</v>
      </c>
      <c r="N179" s="21">
        <v>0</v>
      </c>
      <c r="O179" s="21">
        <v>0</v>
      </c>
      <c r="P179" s="21">
        <v>0</v>
      </c>
      <c r="Q179" s="21">
        <v>0</v>
      </c>
      <c r="R179" s="21">
        <v>0</v>
      </c>
      <c r="S179" s="21">
        <v>0</v>
      </c>
    </row>
    <row r="180" spans="1:19" x14ac:dyDescent="0.2">
      <c r="A180" s="13">
        <f t="shared" si="41"/>
        <v>180</v>
      </c>
      <c r="B180" s="38" t="str">
        <f>"* * * TABLE 2 - ACCUMULATED PROVISION FOR DEPRECIATION * * * "</f>
        <v xml:space="preserve">* * * TABLE 2 - ACCUMULATED PROVISION FOR DEPRECIATION * * * </v>
      </c>
      <c r="C180" s="4"/>
      <c r="D180" s="43"/>
      <c r="E180" s="44"/>
      <c r="F180" s="45"/>
      <c r="L180" s="21">
        <v>0</v>
      </c>
      <c r="M180" s="21">
        <v>0</v>
      </c>
      <c r="N180" s="21">
        <v>0</v>
      </c>
      <c r="O180" s="21">
        <v>0</v>
      </c>
      <c r="P180" s="21">
        <v>0</v>
      </c>
      <c r="Q180" s="21">
        <v>0</v>
      </c>
      <c r="R180" s="21">
        <v>0</v>
      </c>
      <c r="S180" s="21">
        <v>0</v>
      </c>
    </row>
    <row r="181" spans="1:19" x14ac:dyDescent="0.2">
      <c r="A181" s="13">
        <f t="shared" si="41"/>
        <v>181</v>
      </c>
      <c r="B181" s="4"/>
      <c r="C181" s="4"/>
      <c r="D181" s="43"/>
      <c r="E181" s="44"/>
      <c r="F181" s="45"/>
      <c r="L181" s="21">
        <v>0</v>
      </c>
      <c r="M181" s="21">
        <v>0</v>
      </c>
      <c r="N181" s="21">
        <v>0</v>
      </c>
      <c r="O181" s="21">
        <v>0</v>
      </c>
      <c r="P181" s="21">
        <v>0</v>
      </c>
      <c r="Q181" s="21">
        <v>0</v>
      </c>
      <c r="R181" s="21">
        <v>0</v>
      </c>
      <c r="S181" s="21">
        <v>0</v>
      </c>
    </row>
    <row r="182" spans="1:19" x14ac:dyDescent="0.2">
      <c r="A182" s="13">
        <f t="shared" si="41"/>
        <v>182</v>
      </c>
      <c r="B182" s="4" t="s">
        <v>56</v>
      </c>
      <c r="C182" s="4"/>
      <c r="D182" s="43"/>
      <c r="E182" s="44"/>
      <c r="F182" s="45"/>
      <c r="L182" s="21">
        <v>0</v>
      </c>
      <c r="M182" s="21">
        <v>0</v>
      </c>
      <c r="N182" s="21">
        <v>0</v>
      </c>
      <c r="O182" s="21">
        <v>0</v>
      </c>
      <c r="P182" s="21">
        <v>0</v>
      </c>
      <c r="Q182" s="21">
        <v>0</v>
      </c>
      <c r="R182" s="21">
        <v>0</v>
      </c>
      <c r="S182" s="21">
        <v>0</v>
      </c>
    </row>
    <row r="183" spans="1:19" x14ac:dyDescent="0.2">
      <c r="A183" s="13">
        <f t="shared" si="41"/>
        <v>183</v>
      </c>
      <c r="B183" s="4" t="s">
        <v>57</v>
      </c>
      <c r="C183" s="4"/>
      <c r="D183" s="43" t="s">
        <v>508</v>
      </c>
      <c r="E183" s="44">
        <f>A100</f>
        <v>100</v>
      </c>
      <c r="F183" s="45"/>
      <c r="G183" s="21">
        <f>IF($E$1149=1,($L183),IF($E$1149=2,($M183),IF($E$1149=3,($N183),IF($E$1149=4,($O183),IF($E$1149=5,($P183),IF($E$1149=6,($Q183),IF($E$1149=7,($R183),IF($E$1149=8,($S183),0))))))))</f>
        <v>376808235.49000001</v>
      </c>
      <c r="H183" s="48">
        <f>IF($G100&lt;&gt;0,($G183)*(H100/$G100),0)</f>
        <v>361790913.89942086</v>
      </c>
      <c r="I183" s="48">
        <f>IF($G100&lt;&gt;0,($G183)*(I100/$G100),0)</f>
        <v>15017321.590579195</v>
      </c>
      <c r="J183" s="20">
        <f>IF($E$1149=1,($G183),IF($E$1149=2,($G183),IF($E$1149=3,0,IF($E$1149=4,($H183),IF($E$1149=5,($I183),0)))))</f>
        <v>0</v>
      </c>
      <c r="L183" s="21">
        <v>376738349.34000003</v>
      </c>
      <c r="M183" s="21">
        <v>376808235.49000001</v>
      </c>
      <c r="N183" s="21">
        <v>376808235.49000001</v>
      </c>
      <c r="O183" s="21">
        <v>376808235.49000001</v>
      </c>
      <c r="P183" s="21">
        <v>376738349.34000003</v>
      </c>
      <c r="Q183" s="21">
        <v>376738349.34000003</v>
      </c>
      <c r="R183" s="21">
        <v>376808235.49000001</v>
      </c>
      <c r="S183" s="21">
        <v>376808235.49000001</v>
      </c>
    </row>
    <row r="184" spans="1:19" x14ac:dyDescent="0.2">
      <c r="A184" s="13">
        <f t="shared" si="41"/>
        <v>184</v>
      </c>
      <c r="B184" s="4" t="s">
        <v>58</v>
      </c>
      <c r="C184" s="4"/>
      <c r="D184" s="43" t="s">
        <v>508</v>
      </c>
      <c r="E184" s="44">
        <f t="shared" ref="E184:E186" si="51">A101</f>
        <v>101</v>
      </c>
      <c r="F184" s="45"/>
      <c r="G184" s="21">
        <f>IF($E$1149=1,($L184),IF($E$1149=2,($M184),IF($E$1149=3,($N184),IF($E$1149=4,($O184),IF($E$1149=5,($P184),IF($E$1149=6,($Q184),IF($E$1149=7,($R184),IF($E$1149=8,($S184),0))))))))</f>
        <v>470988075.95499998</v>
      </c>
      <c r="H184" s="48">
        <f>IF($G101&lt;&gt;0,($G184)*(H101/$G101),0)</f>
        <v>452217309.45955259</v>
      </c>
      <c r="I184" s="48">
        <f>IF($G101&lt;&gt;0,($G184)*(I101/$G101),0)</f>
        <v>18770766.495447475</v>
      </c>
      <c r="J184" s="20">
        <f>IF($E$1149=1,($G184),IF($E$1149=2,($G184),IF($E$1149=3,0,IF($E$1149=4,($H184),IF($E$1149=5,($I184),0)))))</f>
        <v>0</v>
      </c>
      <c r="L184" s="21">
        <v>470837542.19</v>
      </c>
      <c r="M184" s="21">
        <v>470988075.95499998</v>
      </c>
      <c r="N184" s="21">
        <v>470988075.95499998</v>
      </c>
      <c r="O184" s="21">
        <v>470988075.95499998</v>
      </c>
      <c r="P184" s="21">
        <v>470837542.19</v>
      </c>
      <c r="Q184" s="21">
        <v>470837542.19</v>
      </c>
      <c r="R184" s="21">
        <v>470988075.95499998</v>
      </c>
      <c r="S184" s="21">
        <v>470988075.95499998</v>
      </c>
    </row>
    <row r="185" spans="1:19" x14ac:dyDescent="0.2">
      <c r="A185" s="13">
        <f t="shared" si="41"/>
        <v>185</v>
      </c>
      <c r="B185" s="3" t="s">
        <v>59</v>
      </c>
      <c r="C185" s="4"/>
      <c r="D185" s="43" t="s">
        <v>508</v>
      </c>
      <c r="E185" s="44">
        <f t="shared" si="51"/>
        <v>102</v>
      </c>
      <c r="F185" s="45"/>
      <c r="G185" s="21">
        <f>IF($E$1149=1,($L185),IF($E$1149=2,($M185),IF($E$1149=3,($N185),IF($E$1149=4,($O185),IF($E$1149=5,($P185),IF($E$1149=6,($Q185),IF($E$1149=7,($R185),IF($E$1149=8,($S185),0))))))))</f>
        <v>82216789.530000001</v>
      </c>
      <c r="H185" s="48">
        <f t="shared" ref="H185:I186" si="52">IF($G102&lt;&gt;0,($G185)*(H102/$G102),0)</f>
        <v>78940120.253089413</v>
      </c>
      <c r="I185" s="48">
        <f t="shared" si="52"/>
        <v>3276669.2769105923</v>
      </c>
      <c r="J185" s="20">
        <f>IF($E$1149=1,($G185),IF($E$1149=2,($G185),IF($E$1149=3,0,IF($E$1149=4,($H185),IF($E$1149=5,($I185),0)))))</f>
        <v>0</v>
      </c>
      <c r="L185" s="21">
        <v>82215052.530000001</v>
      </c>
      <c r="M185" s="21">
        <v>82216789.530000001</v>
      </c>
      <c r="N185" s="21">
        <v>82216789.530000001</v>
      </c>
      <c r="O185" s="21">
        <v>82216789.530000001</v>
      </c>
      <c r="P185" s="21">
        <v>82215052.530000001</v>
      </c>
      <c r="Q185" s="21">
        <v>82215052.530000001</v>
      </c>
      <c r="R185" s="21">
        <v>82216789.530000001</v>
      </c>
      <c r="S185" s="21">
        <v>82216789.530000001</v>
      </c>
    </row>
    <row r="186" spans="1:19" x14ac:dyDescent="0.2">
      <c r="A186" s="13">
        <f t="shared" si="41"/>
        <v>186</v>
      </c>
      <c r="B186" s="3" t="s">
        <v>60</v>
      </c>
      <c r="C186" s="4"/>
      <c r="D186" s="43" t="s">
        <v>508</v>
      </c>
      <c r="E186" s="44">
        <f t="shared" si="51"/>
        <v>103</v>
      </c>
      <c r="F186" s="45"/>
      <c r="G186" s="21">
        <f>IF($E$1149=1,($L186),IF($E$1149=2,($M186),IF($E$1149=3,($N186),IF($E$1149=4,($O186),IF($E$1149=5,($P186),IF($E$1149=6,($Q186),IF($E$1149=7,($R186),IF($E$1149=8,($S186),0))))))))</f>
        <v>61026048.030000001</v>
      </c>
      <c r="H186" s="48">
        <f t="shared" si="52"/>
        <v>58593914.912004597</v>
      </c>
      <c r="I186" s="48">
        <f t="shared" si="52"/>
        <v>2432133.1179954088</v>
      </c>
      <c r="J186" s="20">
        <f>IF($E$1149=1,($G186),IF($E$1149=2,($G186),IF($E$1149=3,0,IF($E$1149=4,($H186),IF($E$1149=5,($I186),0)))))</f>
        <v>0</v>
      </c>
      <c r="L186" s="21">
        <v>61034753.030000001</v>
      </c>
      <c r="M186" s="21">
        <v>61026048.030000001</v>
      </c>
      <c r="N186" s="21">
        <v>61026048.030000001</v>
      </c>
      <c r="O186" s="21">
        <v>61026048.030000001</v>
      </c>
      <c r="P186" s="21">
        <v>61034753.030000001</v>
      </c>
      <c r="Q186" s="21">
        <v>61034753.030000001</v>
      </c>
      <c r="R186" s="21">
        <v>61026048.030000001</v>
      </c>
      <c r="S186" s="21">
        <v>61026048.030000001</v>
      </c>
    </row>
    <row r="187" spans="1:19" x14ac:dyDescent="0.2">
      <c r="A187" s="13">
        <f t="shared" si="41"/>
        <v>187</v>
      </c>
      <c r="B187" s="4" t="s">
        <v>5</v>
      </c>
      <c r="C187" s="4" t="s">
        <v>61</v>
      </c>
      <c r="D187" s="43" t="s">
        <v>5</v>
      </c>
      <c r="E187" s="44" t="s">
        <v>5</v>
      </c>
      <c r="F187" s="45"/>
      <c r="G187" s="46">
        <f>SUM(G183:G186)</f>
        <v>991039149.00499988</v>
      </c>
      <c r="H187" s="46">
        <f t="shared" ref="H187:I187" si="53">SUM(H183:H186)</f>
        <v>951542258.52406752</v>
      </c>
      <c r="I187" s="46">
        <f t="shared" si="53"/>
        <v>39496890.480932675</v>
      </c>
      <c r="J187" s="20">
        <f>IF($E$1149=1,($G187),IF($E$1149=2,($G187),IF($E$1149=3,0,IF($E$1149=4,($H187),IF($E$1149=5,($I187),0)))))</f>
        <v>0</v>
      </c>
      <c r="L187" s="21">
        <v>0</v>
      </c>
      <c r="M187" s="21">
        <v>0</v>
      </c>
      <c r="N187" s="21">
        <v>0</v>
      </c>
      <c r="O187" s="21">
        <v>0</v>
      </c>
      <c r="P187" s="21">
        <v>0</v>
      </c>
      <c r="Q187" s="21">
        <v>0</v>
      </c>
      <c r="R187" s="21">
        <v>0</v>
      </c>
      <c r="S187" s="21">
        <v>0</v>
      </c>
    </row>
    <row r="188" spans="1:19" x14ac:dyDescent="0.2">
      <c r="A188" s="13">
        <f t="shared" si="41"/>
        <v>188</v>
      </c>
      <c r="B188" s="4" t="s">
        <v>5</v>
      </c>
      <c r="C188" s="4" t="s">
        <v>5</v>
      </c>
      <c r="D188" s="43" t="s">
        <v>5</v>
      </c>
      <c r="E188" s="44" t="s">
        <v>5</v>
      </c>
      <c r="F188" s="45"/>
      <c r="L188" s="21">
        <v>0</v>
      </c>
      <c r="M188" s="21">
        <v>0</v>
      </c>
      <c r="N188" s="21">
        <v>0</v>
      </c>
      <c r="O188" s="21">
        <v>0</v>
      </c>
      <c r="P188" s="21">
        <v>0</v>
      </c>
      <c r="Q188" s="21">
        <v>0</v>
      </c>
      <c r="R188" s="21">
        <v>0</v>
      </c>
      <c r="S188" s="21">
        <v>0</v>
      </c>
    </row>
    <row r="189" spans="1:19" x14ac:dyDescent="0.2">
      <c r="A189" s="13">
        <f t="shared" si="41"/>
        <v>189</v>
      </c>
      <c r="B189" s="4" t="s">
        <v>62</v>
      </c>
      <c r="C189" s="4"/>
      <c r="D189" s="43" t="s">
        <v>5</v>
      </c>
      <c r="E189" s="44" t="s">
        <v>5</v>
      </c>
      <c r="F189" s="45"/>
      <c r="L189" s="21">
        <v>0</v>
      </c>
      <c r="M189" s="21">
        <v>0</v>
      </c>
      <c r="N189" s="21">
        <v>0</v>
      </c>
      <c r="O189" s="21">
        <v>0</v>
      </c>
      <c r="P189" s="21">
        <v>0</v>
      </c>
      <c r="Q189" s="21">
        <v>0</v>
      </c>
      <c r="R189" s="21">
        <v>0</v>
      </c>
      <c r="S189" s="21">
        <v>0</v>
      </c>
    </row>
    <row r="190" spans="1:19" x14ac:dyDescent="0.2">
      <c r="A190" s="13">
        <f t="shared" si="41"/>
        <v>190</v>
      </c>
      <c r="B190" s="4" t="s">
        <v>63</v>
      </c>
      <c r="C190" s="4"/>
      <c r="D190" s="43" t="s">
        <v>508</v>
      </c>
      <c r="E190" s="44">
        <f>A111</f>
        <v>111</v>
      </c>
      <c r="F190" s="45"/>
      <c r="G190" s="21">
        <f t="shared" ref="G190:G196" si="54">IF($E$1149=1,($L190),IF($E$1149=2,($M190),IF($E$1149=3,($N190),IF($E$1149=4,($O190),IF($E$1149=5,($P190),IF($E$1149=6,($Q190),IF($E$1149=7,($R190),IF($E$1149=8,($S190),0))))))))</f>
        <v>9431930.8650000002</v>
      </c>
      <c r="H190" s="48">
        <f>IF($G$111&lt;&gt;0,($G190)*(SUM(H$109:H$110)/$G$111),0)</f>
        <v>9056030.5377801787</v>
      </c>
      <c r="I190" s="48">
        <f>IF($G$111&lt;&gt;0,($G190)*(SUM(I$109:I$110)/$G$111),0)</f>
        <v>375900.32721982215</v>
      </c>
      <c r="J190" s="20">
        <f t="shared" ref="J190:J197" si="55">IF($E$1149=1,($G190),IF($E$1149=2,($G190),IF($E$1149=3,0,IF($E$1149=4,($H190),IF($E$1149=5,($I190),0)))))</f>
        <v>0</v>
      </c>
      <c r="L190" s="21">
        <v>9430442.2799999993</v>
      </c>
      <c r="M190" s="21">
        <v>9431930.8650000002</v>
      </c>
      <c r="N190" s="21">
        <v>9431930.8650000002</v>
      </c>
      <c r="O190" s="21">
        <v>9431930.8650000002</v>
      </c>
      <c r="P190" s="21">
        <v>9430442.2799999993</v>
      </c>
      <c r="Q190" s="21">
        <v>9430442.2799999993</v>
      </c>
      <c r="R190" s="21">
        <v>9431930.8650000002</v>
      </c>
      <c r="S190" s="21">
        <v>9431930.8650000002</v>
      </c>
    </row>
    <row r="191" spans="1:19" x14ac:dyDescent="0.2">
      <c r="A191" s="13">
        <f t="shared" si="41"/>
        <v>191</v>
      </c>
      <c r="B191" s="4" t="s">
        <v>66</v>
      </c>
      <c r="C191" s="4"/>
      <c r="D191" s="43" t="s">
        <v>508</v>
      </c>
      <c r="E191" s="44">
        <f>A116</f>
        <v>116</v>
      </c>
      <c r="F191" s="45"/>
      <c r="G191" s="21">
        <f t="shared" si="54"/>
        <v>31597505.710000001</v>
      </c>
      <c r="H191" s="48">
        <f>IF($G$116&lt;&gt;0,($G191)*(SUM(H$114:H$115)/$G$116),0)</f>
        <v>30337985.135527052</v>
      </c>
      <c r="I191" s="48">
        <f>IF($G$116&lt;&gt;0,($G191)*(SUM(I$114:I$115)/$G$116),0)</f>
        <v>1259520.5744729552</v>
      </c>
      <c r="J191" s="20">
        <f t="shared" si="55"/>
        <v>0</v>
      </c>
      <c r="L191" s="21">
        <v>31585745.990000002</v>
      </c>
      <c r="M191" s="21">
        <v>31597505.710000001</v>
      </c>
      <c r="N191" s="21">
        <v>31597505.710000001</v>
      </c>
      <c r="O191" s="21">
        <v>31597505.710000001</v>
      </c>
      <c r="P191" s="21">
        <v>31585745.990000002</v>
      </c>
      <c r="Q191" s="21">
        <v>31585745.990000002</v>
      </c>
      <c r="R191" s="21">
        <v>31597505.710000001</v>
      </c>
      <c r="S191" s="21">
        <v>31597505.710000001</v>
      </c>
    </row>
    <row r="192" spans="1:19" x14ac:dyDescent="0.2">
      <c r="A192" s="13">
        <f t="shared" si="41"/>
        <v>192</v>
      </c>
      <c r="B192" s="4" t="s">
        <v>68</v>
      </c>
      <c r="C192" s="4"/>
      <c r="D192" s="43" t="s">
        <v>508</v>
      </c>
      <c r="E192" s="44">
        <f>A121</f>
        <v>121</v>
      </c>
      <c r="F192" s="45"/>
      <c r="G192" s="21">
        <f t="shared" si="54"/>
        <v>116748273.02500001</v>
      </c>
      <c r="H192" s="48">
        <f>IF($G$121&lt;&gt;0,($G192)*(SUM(H$119:H$120)/$G$121),0)</f>
        <v>112087244.14718939</v>
      </c>
      <c r="I192" s="48">
        <f>IF($G$121&lt;&gt;0,($G192)*(SUM(I$119:I$120)/$G$121),0)</f>
        <v>4661028.8778106403</v>
      </c>
      <c r="J192" s="20">
        <f t="shared" si="55"/>
        <v>0</v>
      </c>
      <c r="L192" s="21">
        <v>116722533.23</v>
      </c>
      <c r="M192" s="21">
        <v>116748273.02500001</v>
      </c>
      <c r="N192" s="21">
        <v>116748273.02500001</v>
      </c>
      <c r="O192" s="21">
        <v>116748273.02500001</v>
      </c>
      <c r="P192" s="21">
        <v>116722533.23</v>
      </c>
      <c r="Q192" s="21">
        <v>116722533.23</v>
      </c>
      <c r="R192" s="21">
        <v>116748273.02500001</v>
      </c>
      <c r="S192" s="21">
        <v>116748273.02500001</v>
      </c>
    </row>
    <row r="193" spans="1:19" x14ac:dyDescent="0.2">
      <c r="A193" s="13">
        <f t="shared" si="41"/>
        <v>193</v>
      </c>
      <c r="B193" s="4" t="s">
        <v>70</v>
      </c>
      <c r="C193" s="4"/>
      <c r="D193" s="43" t="s">
        <v>508</v>
      </c>
      <c r="E193" s="44">
        <f>A127</f>
        <v>127</v>
      </c>
      <c r="F193" s="45"/>
      <c r="G193" s="21">
        <f t="shared" si="54"/>
        <v>75338455.025000006</v>
      </c>
      <c r="H193" s="48">
        <f>IF($G$127&lt;&gt;0,($G193)*(SUM(H$125:H$126)/$G$127),0)</f>
        <v>72335915.00414148</v>
      </c>
      <c r="I193" s="48">
        <f>IF($G$127&lt;&gt;0,($G193)*(SUM(I$125:I$126)/$G$127),0)</f>
        <v>3002540.0208585346</v>
      </c>
      <c r="J193" s="20">
        <f t="shared" si="55"/>
        <v>0</v>
      </c>
      <c r="L193" s="21">
        <v>75316536.140000001</v>
      </c>
      <c r="M193" s="21">
        <v>75338455.025000006</v>
      </c>
      <c r="N193" s="21">
        <v>75338455.025000006</v>
      </c>
      <c r="O193" s="21">
        <v>75338455.025000006</v>
      </c>
      <c r="P193" s="21">
        <v>75316536.140000001</v>
      </c>
      <c r="Q193" s="21">
        <v>75316536.140000001</v>
      </c>
      <c r="R193" s="21">
        <v>75338455.025000006</v>
      </c>
      <c r="S193" s="21">
        <v>75338455.025000006</v>
      </c>
    </row>
    <row r="194" spans="1:19" x14ac:dyDescent="0.2">
      <c r="A194" s="13">
        <f t="shared" si="41"/>
        <v>194</v>
      </c>
      <c r="B194" s="4" t="s">
        <v>72</v>
      </c>
      <c r="C194" s="4"/>
      <c r="D194" s="43" t="s">
        <v>508</v>
      </c>
      <c r="E194" s="44">
        <f>A132</f>
        <v>132</v>
      </c>
      <c r="F194" s="45"/>
      <c r="G194" s="21">
        <f t="shared" si="54"/>
        <v>73447817.429999992</v>
      </c>
      <c r="H194" s="48">
        <f>IF($G$132&lt;&gt;0,($G194)*(SUM(H$130:H$131)/$G$132),0)</f>
        <v>70509773.09184961</v>
      </c>
      <c r="I194" s="48">
        <f>IF($G$132&lt;&gt;0,($G194)*(SUM(I$130:I$131)/$G$132),0)</f>
        <v>2938044.3381503951</v>
      </c>
      <c r="J194" s="20">
        <f t="shared" si="55"/>
        <v>0</v>
      </c>
      <c r="L194" s="21">
        <v>73440328.319999993</v>
      </c>
      <c r="M194" s="21">
        <v>73447817.429999992</v>
      </c>
      <c r="N194" s="21">
        <v>73447817.429999992</v>
      </c>
      <c r="O194" s="21">
        <v>73447817.429999992</v>
      </c>
      <c r="P194" s="21">
        <v>73440328.319999993</v>
      </c>
      <c r="Q194" s="21">
        <v>73440328.319999993</v>
      </c>
      <c r="R194" s="21">
        <v>73447817.429999992</v>
      </c>
      <c r="S194" s="21">
        <v>73447817.429999992</v>
      </c>
    </row>
    <row r="195" spans="1:19" x14ac:dyDescent="0.2">
      <c r="A195" s="13">
        <f t="shared" ref="A195:A258" si="56">A194+1</f>
        <v>195</v>
      </c>
      <c r="B195" s="4" t="s">
        <v>74</v>
      </c>
      <c r="C195" s="4"/>
      <c r="D195" s="43" t="s">
        <v>508</v>
      </c>
      <c r="E195" s="44">
        <f>A137</f>
        <v>137</v>
      </c>
      <c r="F195" s="45"/>
      <c r="G195" s="21">
        <f t="shared" si="54"/>
        <v>85540327.349999994</v>
      </c>
      <c r="H195" s="48">
        <f>IF($G$137&lt;&gt;0,($G195)*(SUM(H$135:H$136)/$G$137),0)</f>
        <v>82122856.790340319</v>
      </c>
      <c r="I195" s="48">
        <f>IF($G$137&lt;&gt;0,($G195)*(SUM(I$135:I$136)/$G$137),0)</f>
        <v>3417470.5596596776</v>
      </c>
      <c r="J195" s="20">
        <f t="shared" si="55"/>
        <v>0</v>
      </c>
      <c r="L195" s="21">
        <v>85491955.859999999</v>
      </c>
      <c r="M195" s="21">
        <v>85540327.349999994</v>
      </c>
      <c r="N195" s="21">
        <v>85540327.349999994</v>
      </c>
      <c r="O195" s="21">
        <v>85540327.349999994</v>
      </c>
      <c r="P195" s="21">
        <v>85491955.859999999</v>
      </c>
      <c r="Q195" s="21">
        <v>85491955.859999999</v>
      </c>
      <c r="R195" s="21">
        <v>85540327.349999994</v>
      </c>
      <c r="S195" s="21">
        <v>85540327.349999994</v>
      </c>
    </row>
    <row r="196" spans="1:19" x14ac:dyDescent="0.2">
      <c r="A196" s="13">
        <f t="shared" si="56"/>
        <v>196</v>
      </c>
      <c r="B196" s="4" t="s">
        <v>76</v>
      </c>
      <c r="C196" s="4"/>
      <c r="D196" s="43" t="s">
        <v>508</v>
      </c>
      <c r="E196" s="44">
        <f>A142</f>
        <v>142</v>
      </c>
      <c r="F196" s="45"/>
      <c r="G196" s="21">
        <f t="shared" si="54"/>
        <v>291585.90999999997</v>
      </c>
      <c r="H196" s="48">
        <f>IF($G$142&lt;&gt;0,($G196)*(SUM(H$140:H$141)/$G$142),0)</f>
        <v>279965.04036572186</v>
      </c>
      <c r="I196" s="48">
        <f>IF($G$142&lt;&gt;0,($G196)*(SUM(I$140:I$141)/$G$142),0)</f>
        <v>11620.869634278177</v>
      </c>
      <c r="J196" s="20">
        <f t="shared" si="55"/>
        <v>0</v>
      </c>
      <c r="L196" s="21">
        <v>291585.8</v>
      </c>
      <c r="M196" s="21">
        <v>291585.90999999997</v>
      </c>
      <c r="N196" s="21">
        <v>291585.90999999997</v>
      </c>
      <c r="O196" s="21">
        <v>291585.90999999997</v>
      </c>
      <c r="P196" s="21">
        <v>291585.8</v>
      </c>
      <c r="Q196" s="21">
        <v>291585.8</v>
      </c>
      <c r="R196" s="21">
        <v>291585.90999999997</v>
      </c>
      <c r="S196" s="21">
        <v>291585.90999999997</v>
      </c>
    </row>
    <row r="197" spans="1:19" x14ac:dyDescent="0.2">
      <c r="A197" s="13">
        <f t="shared" si="56"/>
        <v>197</v>
      </c>
      <c r="B197" s="4" t="s">
        <v>5</v>
      </c>
      <c r="C197" s="4" t="s">
        <v>78</v>
      </c>
      <c r="D197" s="43" t="s">
        <v>5</v>
      </c>
      <c r="E197" s="44" t="s">
        <v>5</v>
      </c>
      <c r="F197" s="45"/>
      <c r="G197" s="46">
        <f>SUM(G190:G196)</f>
        <v>392395895.315</v>
      </c>
      <c r="H197" s="46">
        <f t="shared" ref="H197:I197" si="57">SUM(H190:H196)</f>
        <v>376729769.74719369</v>
      </c>
      <c r="I197" s="46">
        <f t="shared" si="57"/>
        <v>15666125.567806304</v>
      </c>
      <c r="J197" s="20">
        <f t="shared" si="55"/>
        <v>0</v>
      </c>
      <c r="L197" s="21">
        <v>0</v>
      </c>
      <c r="M197" s="21">
        <v>0</v>
      </c>
      <c r="N197" s="21">
        <v>0</v>
      </c>
      <c r="O197" s="21">
        <v>0</v>
      </c>
      <c r="P197" s="21">
        <v>0</v>
      </c>
      <c r="Q197" s="21">
        <v>0</v>
      </c>
      <c r="R197" s="21">
        <v>0</v>
      </c>
      <c r="S197" s="21">
        <v>0</v>
      </c>
    </row>
    <row r="198" spans="1:19" x14ac:dyDescent="0.2">
      <c r="A198" s="13">
        <f t="shared" si="56"/>
        <v>198</v>
      </c>
      <c r="B198" s="4" t="s">
        <v>5</v>
      </c>
      <c r="C198" s="4" t="s">
        <v>5</v>
      </c>
      <c r="D198" s="43" t="s">
        <v>5</v>
      </c>
      <c r="E198" s="44" t="s">
        <v>5</v>
      </c>
      <c r="F198" s="45"/>
      <c r="L198" s="21">
        <v>0</v>
      </c>
      <c r="M198" s="21">
        <v>0</v>
      </c>
      <c r="N198" s="21">
        <v>0</v>
      </c>
      <c r="O198" s="21">
        <v>0</v>
      </c>
      <c r="P198" s="21">
        <v>0</v>
      </c>
      <c r="Q198" s="21">
        <v>0</v>
      </c>
      <c r="R198" s="21">
        <v>0</v>
      </c>
      <c r="S198" s="21">
        <v>0</v>
      </c>
    </row>
    <row r="199" spans="1:19" x14ac:dyDescent="0.2">
      <c r="A199" s="13">
        <f t="shared" si="56"/>
        <v>199</v>
      </c>
      <c r="B199" s="4" t="s">
        <v>79</v>
      </c>
      <c r="C199" s="4"/>
      <c r="D199" s="43" t="s">
        <v>5</v>
      </c>
      <c r="E199" s="44" t="s">
        <v>5</v>
      </c>
      <c r="F199" s="45"/>
      <c r="L199" s="21">
        <v>0</v>
      </c>
      <c r="M199" s="21">
        <v>0</v>
      </c>
      <c r="N199" s="21">
        <v>0</v>
      </c>
      <c r="O199" s="21">
        <v>0</v>
      </c>
      <c r="P199" s="21">
        <v>0</v>
      </c>
      <c r="Q199" s="21">
        <v>0</v>
      </c>
      <c r="R199" s="21">
        <v>0</v>
      </c>
      <c r="S199" s="21">
        <v>0</v>
      </c>
    </row>
    <row r="200" spans="1:19" x14ac:dyDescent="0.2">
      <c r="A200" s="13">
        <f t="shared" si="56"/>
        <v>200</v>
      </c>
      <c r="B200" s="4" t="s">
        <v>80</v>
      </c>
      <c r="C200" s="4"/>
      <c r="D200" s="43" t="s">
        <v>508</v>
      </c>
      <c r="E200" s="44">
        <f t="shared" ref="E200:E211" si="58">A149</f>
        <v>149</v>
      </c>
      <c r="F200" s="45"/>
      <c r="G200" s="21">
        <f t="shared" ref="G200:G211" si="59">IF($E$1149=1,($L200),IF($E$1149=2,($M200),IF($E$1149=3,($N200),IF($E$1149=4,($O200),IF($E$1149=5,($P200),IF($E$1149=6,($Q200),IF($E$1149=7,($R200),IF($E$1149=8,($S200),0))))))))</f>
        <v>180513.905</v>
      </c>
      <c r="H200" s="48">
        <f t="shared" ref="H200:I200" si="60">IF($G$149&lt;&gt;0,($G200)*(H149/$G$149),0)</f>
        <v>176112.41089766013</v>
      </c>
      <c r="I200" s="48">
        <f t="shared" si="60"/>
        <v>4401.4941023398878</v>
      </c>
      <c r="J200" s="20">
        <f t="shared" ref="J200:J212" si="61">IF($E$1149=1,($G200),IF($E$1149=2,($G200),IF($E$1149=3,0,IF($E$1149=4,($H200),IF($E$1149=5,($I200),0)))))</f>
        <v>0</v>
      </c>
      <c r="L200" s="21">
        <v>180513.63</v>
      </c>
      <c r="M200" s="21">
        <v>180513.905</v>
      </c>
      <c r="N200" s="21">
        <v>180513.905</v>
      </c>
      <c r="O200" s="21">
        <v>180513.905</v>
      </c>
      <c r="P200" s="21">
        <v>180513.63</v>
      </c>
      <c r="Q200" s="21">
        <v>180513.63</v>
      </c>
      <c r="R200" s="21">
        <v>180513.905</v>
      </c>
      <c r="S200" s="21">
        <v>180513.905</v>
      </c>
    </row>
    <row r="201" spans="1:19" x14ac:dyDescent="0.2">
      <c r="A201" s="13">
        <f t="shared" si="56"/>
        <v>201</v>
      </c>
      <c r="B201" s="4" t="s">
        <v>81</v>
      </c>
      <c r="C201" s="4"/>
      <c r="D201" s="43" t="s">
        <v>508</v>
      </c>
      <c r="E201" s="44">
        <f t="shared" si="58"/>
        <v>150</v>
      </c>
      <c r="F201" s="45"/>
      <c r="G201" s="21">
        <f t="shared" si="59"/>
        <v>14973261.395000001</v>
      </c>
      <c r="H201" s="48">
        <f t="shared" ref="H201:I201" si="62">IF($G$150&lt;&gt;0,($G201)*(H150/$G$150),0)</f>
        <v>14217420.153508583</v>
      </c>
      <c r="I201" s="48">
        <f t="shared" si="62"/>
        <v>755841.24149141903</v>
      </c>
      <c r="J201" s="20">
        <f t="shared" si="61"/>
        <v>0</v>
      </c>
      <c r="L201" s="21">
        <v>14963539.640000001</v>
      </c>
      <c r="M201" s="21">
        <v>14973261.395000001</v>
      </c>
      <c r="N201" s="21">
        <v>14973261.395000001</v>
      </c>
      <c r="O201" s="21">
        <v>14973261.395000001</v>
      </c>
      <c r="P201" s="21">
        <v>14963539.640000001</v>
      </c>
      <c r="Q201" s="21">
        <v>14963539.640000001</v>
      </c>
      <c r="R201" s="21">
        <v>14973261.395000001</v>
      </c>
      <c r="S201" s="21">
        <v>14973261.395000001</v>
      </c>
    </row>
    <row r="202" spans="1:19" x14ac:dyDescent="0.2">
      <c r="A202" s="13">
        <f t="shared" si="56"/>
        <v>202</v>
      </c>
      <c r="B202" s="4" t="s">
        <v>82</v>
      </c>
      <c r="C202" s="4"/>
      <c r="D202" s="43" t="s">
        <v>508</v>
      </c>
      <c r="E202" s="44">
        <f t="shared" si="58"/>
        <v>151</v>
      </c>
      <c r="F202" s="45"/>
      <c r="G202" s="21">
        <f t="shared" si="59"/>
        <v>66628394.564999998</v>
      </c>
      <c r="H202" s="48">
        <f t="shared" ref="H202:I202" si="63">IF($G$151&lt;&gt;0,($G202)*(H151/$G$151),0)</f>
        <v>63760273.015579998</v>
      </c>
      <c r="I202" s="48">
        <f t="shared" si="63"/>
        <v>2868121.5494200047</v>
      </c>
      <c r="J202" s="20">
        <f t="shared" si="61"/>
        <v>0</v>
      </c>
      <c r="L202" s="21">
        <v>66552813.93</v>
      </c>
      <c r="M202" s="21">
        <v>66628394.564999998</v>
      </c>
      <c r="N202" s="21">
        <v>66628394.564999998</v>
      </c>
      <c r="O202" s="21">
        <v>66628394.564999998</v>
      </c>
      <c r="P202" s="21">
        <v>66552813.93</v>
      </c>
      <c r="Q202" s="21">
        <v>66552813.93</v>
      </c>
      <c r="R202" s="21">
        <v>66628394.564999998</v>
      </c>
      <c r="S202" s="21">
        <v>66628394.564999998</v>
      </c>
    </row>
    <row r="203" spans="1:19" x14ac:dyDescent="0.2">
      <c r="A203" s="13">
        <f t="shared" si="56"/>
        <v>203</v>
      </c>
      <c r="B203" s="4" t="s">
        <v>83</v>
      </c>
      <c r="C203" s="4"/>
      <c r="D203" s="43" t="s">
        <v>508</v>
      </c>
      <c r="E203" s="44">
        <f t="shared" si="58"/>
        <v>152</v>
      </c>
      <c r="F203" s="45"/>
      <c r="G203" s="21">
        <f t="shared" si="59"/>
        <v>147976135.40615401</v>
      </c>
      <c r="H203" s="48">
        <f t="shared" ref="H203:I211" si="64">IF($G152&lt;&gt;0,($G203)*(H152/$G152),0)</f>
        <v>136097174.8434853</v>
      </c>
      <c r="I203" s="48">
        <f t="shared" si="64"/>
        <v>11878960.562668746</v>
      </c>
      <c r="J203" s="20">
        <f t="shared" si="61"/>
        <v>0</v>
      </c>
      <c r="L203" s="21">
        <v>147918309.87615401</v>
      </c>
      <c r="M203" s="21">
        <v>147976135.40615401</v>
      </c>
      <c r="N203" s="21">
        <v>147976135.40615401</v>
      </c>
      <c r="O203" s="21">
        <v>147976135.40615401</v>
      </c>
      <c r="P203" s="21">
        <v>147918309.87615401</v>
      </c>
      <c r="Q203" s="21">
        <v>147918309.87615401</v>
      </c>
      <c r="R203" s="21">
        <v>147976135.40615401</v>
      </c>
      <c r="S203" s="21">
        <v>147976135.40615401</v>
      </c>
    </row>
    <row r="204" spans="1:19" x14ac:dyDescent="0.2">
      <c r="A204" s="13">
        <f t="shared" si="56"/>
        <v>204</v>
      </c>
      <c r="B204" s="4" t="s">
        <v>84</v>
      </c>
      <c r="C204" s="4"/>
      <c r="D204" s="43" t="s">
        <v>508</v>
      </c>
      <c r="E204" s="44">
        <f t="shared" si="58"/>
        <v>153</v>
      </c>
      <c r="F204" s="45"/>
      <c r="G204" s="21">
        <f t="shared" si="59"/>
        <v>57185650.886538498</v>
      </c>
      <c r="H204" s="48">
        <f t="shared" si="64"/>
        <v>53681419.314725347</v>
      </c>
      <c r="I204" s="48">
        <f t="shared" si="64"/>
        <v>3504231.5718131568</v>
      </c>
      <c r="J204" s="20">
        <f t="shared" si="61"/>
        <v>0</v>
      </c>
      <c r="L204" s="21">
        <v>57177708.261538498</v>
      </c>
      <c r="M204" s="21">
        <v>57185650.886538498</v>
      </c>
      <c r="N204" s="21">
        <v>57185650.886538498</v>
      </c>
      <c r="O204" s="21">
        <v>57185650.886538498</v>
      </c>
      <c r="P204" s="21">
        <v>57177708.261538498</v>
      </c>
      <c r="Q204" s="21">
        <v>57177708.261538498</v>
      </c>
      <c r="R204" s="21">
        <v>57185650.886538498</v>
      </c>
      <c r="S204" s="21">
        <v>57185650.886538498</v>
      </c>
    </row>
    <row r="205" spans="1:19" x14ac:dyDescent="0.2">
      <c r="A205" s="13">
        <f t="shared" si="56"/>
        <v>205</v>
      </c>
      <c r="B205" s="4" t="s">
        <v>85</v>
      </c>
      <c r="C205" s="4"/>
      <c r="D205" s="43" t="s">
        <v>508</v>
      </c>
      <c r="E205" s="44">
        <f t="shared" si="58"/>
        <v>154</v>
      </c>
      <c r="F205" s="45"/>
      <c r="G205" s="21">
        <f t="shared" si="59"/>
        <v>17971316.4238462</v>
      </c>
      <c r="H205" s="48">
        <f t="shared" si="64"/>
        <v>17698830.776023533</v>
      </c>
      <c r="I205" s="48">
        <f t="shared" si="64"/>
        <v>272485.64782266627</v>
      </c>
      <c r="J205" s="20">
        <f t="shared" si="61"/>
        <v>0</v>
      </c>
      <c r="L205" s="21">
        <v>17969528.7638462</v>
      </c>
      <c r="M205" s="21">
        <v>17971316.4238462</v>
      </c>
      <c r="N205" s="21">
        <v>17971316.4238462</v>
      </c>
      <c r="O205" s="21">
        <v>17971316.4238462</v>
      </c>
      <c r="P205" s="21">
        <v>17969528.7638462</v>
      </c>
      <c r="Q205" s="21">
        <v>17969528.7638462</v>
      </c>
      <c r="R205" s="21">
        <v>17971316.4238462</v>
      </c>
      <c r="S205" s="21">
        <v>17971316.4238462</v>
      </c>
    </row>
    <row r="206" spans="1:19" x14ac:dyDescent="0.2">
      <c r="A206" s="13">
        <f t="shared" si="56"/>
        <v>206</v>
      </c>
      <c r="B206" s="4" t="s">
        <v>86</v>
      </c>
      <c r="C206" s="4"/>
      <c r="D206" s="43" t="s">
        <v>508</v>
      </c>
      <c r="E206" s="44">
        <f t="shared" si="58"/>
        <v>155</v>
      </c>
      <c r="F206" s="45"/>
      <c r="G206" s="21">
        <f t="shared" si="59"/>
        <v>98233671.623846099</v>
      </c>
      <c r="H206" s="48">
        <f t="shared" si="64"/>
        <v>96754288.087644443</v>
      </c>
      <c r="I206" s="48">
        <f t="shared" si="64"/>
        <v>1479383.5362016535</v>
      </c>
      <c r="J206" s="20">
        <f t="shared" si="61"/>
        <v>0</v>
      </c>
      <c r="L206" s="21">
        <v>98173828.993846104</v>
      </c>
      <c r="M206" s="21">
        <v>98233671.623846099</v>
      </c>
      <c r="N206" s="21">
        <v>98233671.623846099</v>
      </c>
      <c r="O206" s="21">
        <v>98233671.623846099</v>
      </c>
      <c r="P206" s="21">
        <v>98173828.993846104</v>
      </c>
      <c r="Q206" s="21">
        <v>98173828.993846104</v>
      </c>
      <c r="R206" s="21">
        <v>98233671.623846099</v>
      </c>
      <c r="S206" s="21">
        <v>98233671.623846099</v>
      </c>
    </row>
    <row r="207" spans="1:19" x14ac:dyDescent="0.2">
      <c r="A207" s="13">
        <f t="shared" si="56"/>
        <v>207</v>
      </c>
      <c r="B207" s="4" t="s">
        <v>87</v>
      </c>
      <c r="C207" s="4"/>
      <c r="D207" s="43" t="s">
        <v>508</v>
      </c>
      <c r="E207" s="44">
        <f t="shared" si="58"/>
        <v>156</v>
      </c>
      <c r="F207" s="45"/>
      <c r="G207" s="21">
        <f t="shared" si="59"/>
        <v>192306615.13538501</v>
      </c>
      <c r="H207" s="48">
        <f t="shared" si="64"/>
        <v>185259439.2110382</v>
      </c>
      <c r="I207" s="48">
        <f t="shared" si="64"/>
        <v>7047175.9243468</v>
      </c>
      <c r="J207" s="20">
        <f t="shared" si="61"/>
        <v>0</v>
      </c>
      <c r="L207" s="21">
        <v>192138589.55538499</v>
      </c>
      <c r="M207" s="21">
        <v>192306615.13538501</v>
      </c>
      <c r="N207" s="21">
        <v>192306615.13538501</v>
      </c>
      <c r="O207" s="21">
        <v>192306615.13538501</v>
      </c>
      <c r="P207" s="21">
        <v>192138589.55538499</v>
      </c>
      <c r="Q207" s="21">
        <v>192138589.55538499</v>
      </c>
      <c r="R207" s="21">
        <v>192306615.13538501</v>
      </c>
      <c r="S207" s="21">
        <v>192306615.13538501</v>
      </c>
    </row>
    <row r="208" spans="1:19" x14ac:dyDescent="0.2">
      <c r="A208" s="13">
        <f t="shared" si="56"/>
        <v>208</v>
      </c>
      <c r="B208" s="4" t="s">
        <v>88</v>
      </c>
      <c r="C208" s="4"/>
      <c r="D208" s="43" t="s">
        <v>508</v>
      </c>
      <c r="E208" s="44">
        <f t="shared" si="58"/>
        <v>157</v>
      </c>
      <c r="F208" s="45"/>
      <c r="G208" s="21">
        <f t="shared" si="59"/>
        <v>44415586.4603846</v>
      </c>
      <c r="H208" s="48">
        <f t="shared" si="64"/>
        <v>42544157.585872486</v>
      </c>
      <c r="I208" s="48">
        <f t="shared" si="64"/>
        <v>1871428.8745121143</v>
      </c>
      <c r="J208" s="20">
        <f t="shared" si="61"/>
        <v>0</v>
      </c>
      <c r="L208" s="21">
        <v>44410477.235384598</v>
      </c>
      <c r="M208" s="21">
        <v>44415586.4603846</v>
      </c>
      <c r="N208" s="21">
        <v>44415586.4603846</v>
      </c>
      <c r="O208" s="21">
        <v>44415586.4603846</v>
      </c>
      <c r="P208" s="21">
        <v>44410477.235384598</v>
      </c>
      <c r="Q208" s="21">
        <v>44410477.235384598</v>
      </c>
      <c r="R208" s="21">
        <v>44415586.4603846</v>
      </c>
      <c r="S208" s="21">
        <v>44415586.4603846</v>
      </c>
    </row>
    <row r="209" spans="1:19" x14ac:dyDescent="0.2">
      <c r="A209" s="13">
        <f t="shared" si="56"/>
        <v>209</v>
      </c>
      <c r="B209" s="3" t="s">
        <v>89</v>
      </c>
      <c r="C209" s="3"/>
      <c r="D209" s="43" t="s">
        <v>508</v>
      </c>
      <c r="E209" s="44">
        <f t="shared" si="58"/>
        <v>158</v>
      </c>
      <c r="F209" s="45"/>
      <c r="G209" s="21">
        <f t="shared" si="59"/>
        <v>37101713.036538467</v>
      </c>
      <c r="H209" s="48">
        <f t="shared" si="64"/>
        <v>35865208.656924173</v>
      </c>
      <c r="I209" s="48">
        <f t="shared" si="64"/>
        <v>1236504.3796142959</v>
      </c>
      <c r="J209" s="20">
        <f t="shared" si="61"/>
        <v>0</v>
      </c>
      <c r="L209" s="21">
        <v>37087725.391538464</v>
      </c>
      <c r="M209" s="21">
        <v>37101713.036538467</v>
      </c>
      <c r="N209" s="21">
        <v>37101713.036538467</v>
      </c>
      <c r="O209" s="21">
        <v>37101713.036538467</v>
      </c>
      <c r="P209" s="21">
        <v>37087725.391538464</v>
      </c>
      <c r="Q209" s="21">
        <v>37087725.391538464</v>
      </c>
      <c r="R209" s="21">
        <v>37101713.036538467</v>
      </c>
      <c r="S209" s="21">
        <v>37101713.036538467</v>
      </c>
    </row>
    <row r="210" spans="1:19" x14ac:dyDescent="0.2">
      <c r="A210" s="13">
        <f t="shared" si="56"/>
        <v>210</v>
      </c>
      <c r="B210" s="4" t="s">
        <v>90</v>
      </c>
      <c r="C210" s="4"/>
      <c r="D210" s="43" t="s">
        <v>508</v>
      </c>
      <c r="E210" s="44">
        <f t="shared" si="58"/>
        <v>159</v>
      </c>
      <c r="F210" s="45"/>
      <c r="G210" s="21">
        <f t="shared" si="59"/>
        <v>1734928.615</v>
      </c>
      <c r="H210" s="48">
        <f t="shared" si="64"/>
        <v>1630638.5928976578</v>
      </c>
      <c r="I210" s="48">
        <f t="shared" si="64"/>
        <v>104290.02210234183</v>
      </c>
      <c r="J210" s="20">
        <f t="shared" si="61"/>
        <v>0</v>
      </c>
      <c r="L210" s="21">
        <v>1726395.06</v>
      </c>
      <c r="M210" s="21">
        <v>1734928.615</v>
      </c>
      <c r="N210" s="21">
        <v>1734928.615</v>
      </c>
      <c r="O210" s="21">
        <v>1734928.615</v>
      </c>
      <c r="P210" s="21">
        <v>1726395.06</v>
      </c>
      <c r="Q210" s="21">
        <v>1726395.06</v>
      </c>
      <c r="R210" s="21">
        <v>1734928.615</v>
      </c>
      <c r="S210" s="21">
        <v>1734928.615</v>
      </c>
    </row>
    <row r="211" spans="1:19" x14ac:dyDescent="0.2">
      <c r="A211" s="13">
        <f t="shared" si="56"/>
        <v>211</v>
      </c>
      <c r="B211" s="4" t="s">
        <v>91</v>
      </c>
      <c r="C211" s="4"/>
      <c r="D211" s="43" t="s">
        <v>508</v>
      </c>
      <c r="E211" s="44">
        <f t="shared" si="58"/>
        <v>160</v>
      </c>
      <c r="F211" s="45"/>
      <c r="G211" s="21">
        <f t="shared" si="59"/>
        <v>2672259.085</v>
      </c>
      <c r="H211" s="48">
        <f t="shared" si="64"/>
        <v>2555691.2341313316</v>
      </c>
      <c r="I211" s="48">
        <f t="shared" si="64"/>
        <v>116567.85086866855</v>
      </c>
      <c r="J211" s="20">
        <f t="shared" si="61"/>
        <v>0</v>
      </c>
      <c r="L211" s="21">
        <v>2667906.23</v>
      </c>
      <c r="M211" s="21">
        <v>2672259.085</v>
      </c>
      <c r="N211" s="21">
        <v>2672259.085</v>
      </c>
      <c r="O211" s="21">
        <v>2672259.085</v>
      </c>
      <c r="P211" s="21">
        <v>2667906.23</v>
      </c>
      <c r="Q211" s="21">
        <v>2667906.23</v>
      </c>
      <c r="R211" s="21">
        <v>2672259.085</v>
      </c>
      <c r="S211" s="21">
        <v>2672259.085</v>
      </c>
    </row>
    <row r="212" spans="1:19" x14ac:dyDescent="0.2">
      <c r="A212" s="13">
        <f t="shared" si="56"/>
        <v>212</v>
      </c>
      <c r="B212" s="4" t="s">
        <v>5</v>
      </c>
      <c r="C212" s="4" t="s">
        <v>92</v>
      </c>
      <c r="D212" s="43" t="s">
        <v>5</v>
      </c>
      <c r="E212" s="44" t="s">
        <v>5</v>
      </c>
      <c r="F212" s="45"/>
      <c r="G212" s="46">
        <f>SUM(G200:G211)</f>
        <v>681380046.5376929</v>
      </c>
      <c r="H212" s="46">
        <f t="shared" ref="H212:I212" si="65">SUM(H200:H211)</f>
        <v>650240653.8827287</v>
      </c>
      <c r="I212" s="46">
        <f t="shared" si="65"/>
        <v>31139392.654964205</v>
      </c>
      <c r="J212" s="20">
        <f t="shared" si="61"/>
        <v>0</v>
      </c>
      <c r="L212" s="21">
        <v>0</v>
      </c>
      <c r="M212" s="21">
        <v>0</v>
      </c>
      <c r="N212" s="21">
        <v>0</v>
      </c>
      <c r="O212" s="21">
        <v>0</v>
      </c>
      <c r="P212" s="21">
        <v>0</v>
      </c>
      <c r="Q212" s="21">
        <v>0</v>
      </c>
      <c r="R212" s="21">
        <v>0</v>
      </c>
      <c r="S212" s="21">
        <v>0</v>
      </c>
    </row>
    <row r="213" spans="1:19" x14ac:dyDescent="0.2">
      <c r="A213" s="13">
        <f t="shared" si="56"/>
        <v>213</v>
      </c>
      <c r="B213" s="4" t="s">
        <v>5</v>
      </c>
      <c r="C213" s="4" t="s">
        <v>5</v>
      </c>
      <c r="D213" s="43" t="s">
        <v>5</v>
      </c>
      <c r="E213" s="44" t="s">
        <v>5</v>
      </c>
      <c r="F213" s="45"/>
      <c r="L213" s="21">
        <v>0</v>
      </c>
      <c r="M213" s="21">
        <v>0</v>
      </c>
      <c r="N213" s="21">
        <v>0</v>
      </c>
      <c r="O213" s="21">
        <v>0</v>
      </c>
      <c r="P213" s="21">
        <v>0</v>
      </c>
      <c r="Q213" s="21">
        <v>0</v>
      </c>
      <c r="R213" s="21">
        <v>0</v>
      </c>
      <c r="S213" s="21">
        <v>0</v>
      </c>
    </row>
    <row r="214" spans="1:19" x14ac:dyDescent="0.2">
      <c r="A214" s="13">
        <f t="shared" si="56"/>
        <v>214</v>
      </c>
      <c r="B214" s="38" t="str">
        <f>B180</f>
        <v xml:space="preserve">* * * TABLE 2 - ACCUMULATED PROVISION FOR DEPRECIATION * * * </v>
      </c>
      <c r="C214" s="4"/>
      <c r="D214" s="43"/>
      <c r="E214" s="44"/>
      <c r="F214" s="45"/>
      <c r="L214" s="21">
        <v>0</v>
      </c>
      <c r="M214" s="21">
        <v>0</v>
      </c>
      <c r="N214" s="21">
        <v>0</v>
      </c>
      <c r="O214" s="21">
        <v>0</v>
      </c>
      <c r="P214" s="21">
        <v>0</v>
      </c>
      <c r="Q214" s="21">
        <v>0</v>
      </c>
      <c r="R214" s="21">
        <v>0</v>
      </c>
      <c r="S214" s="21">
        <v>0</v>
      </c>
    </row>
    <row r="215" spans="1:19" x14ac:dyDescent="0.2">
      <c r="A215" s="13">
        <f t="shared" si="56"/>
        <v>215</v>
      </c>
      <c r="B215" s="4" t="str">
        <f>" "</f>
        <v xml:space="preserve"> </v>
      </c>
      <c r="C215" s="4"/>
      <c r="D215" s="43"/>
      <c r="E215" s="44"/>
      <c r="F215" s="45"/>
      <c r="L215" s="21">
        <v>0</v>
      </c>
      <c r="M215" s="21">
        <v>0</v>
      </c>
      <c r="N215" s="21">
        <v>0</v>
      </c>
      <c r="O215" s="21">
        <v>0</v>
      </c>
      <c r="P215" s="21">
        <v>0</v>
      </c>
      <c r="Q215" s="21">
        <v>0</v>
      </c>
      <c r="R215" s="21">
        <v>0</v>
      </c>
      <c r="S215" s="21">
        <v>0</v>
      </c>
    </row>
    <row r="216" spans="1:19" x14ac:dyDescent="0.2">
      <c r="A216" s="13">
        <f t="shared" si="56"/>
        <v>216</v>
      </c>
      <c r="B216" s="4" t="s">
        <v>93</v>
      </c>
      <c r="C216" s="4"/>
      <c r="D216" s="43" t="s">
        <v>5</v>
      </c>
      <c r="E216" s="44" t="s">
        <v>5</v>
      </c>
      <c r="F216" s="45"/>
      <c r="L216" s="21">
        <v>0</v>
      </c>
      <c r="M216" s="21">
        <v>0</v>
      </c>
      <c r="N216" s="21">
        <v>0</v>
      </c>
      <c r="O216" s="21">
        <v>0</v>
      </c>
      <c r="P216" s="21">
        <v>0</v>
      </c>
      <c r="Q216" s="21">
        <v>0</v>
      </c>
      <c r="R216" s="21">
        <v>0</v>
      </c>
      <c r="S216" s="21">
        <v>0</v>
      </c>
    </row>
    <row r="217" spans="1:19" x14ac:dyDescent="0.2">
      <c r="A217" s="13">
        <f t="shared" si="56"/>
        <v>217</v>
      </c>
      <c r="B217" s="4" t="s">
        <v>94</v>
      </c>
      <c r="C217" s="4"/>
      <c r="D217" s="43" t="s">
        <v>508</v>
      </c>
      <c r="E217" s="44">
        <f t="shared" ref="E217:E226" si="66">A165</f>
        <v>165</v>
      </c>
      <c r="F217" s="45"/>
      <c r="G217" s="21">
        <f t="shared" ref="G217:G226" si="67">IF($E$1149=1,($L217),IF($E$1149=2,($M217),IF($E$1149=3,($N217),IF($E$1149=4,($O217),IF($E$1149=5,($P217),IF($E$1149=6,($Q217),IF($E$1149=7,($R217),IF($E$1149=8,($S217),0))))))))</f>
        <v>0</v>
      </c>
      <c r="H217" s="48">
        <f t="shared" ref="H217:I226" si="68">IF($G165&lt;&gt;0,($G217)*(H165/$G165),0)</f>
        <v>0</v>
      </c>
      <c r="I217" s="48">
        <f t="shared" si="68"/>
        <v>0</v>
      </c>
      <c r="J217" s="20">
        <f t="shared" ref="J217:J227" si="69">IF($E$1149=1,($G217),IF($E$1149=2,($G217),IF($E$1149=3,0,IF($E$1149=4,($H217),IF($E$1149=5,($I217),0)))))</f>
        <v>0</v>
      </c>
      <c r="L217" s="21">
        <v>0</v>
      </c>
      <c r="M217" s="21">
        <v>0</v>
      </c>
      <c r="N217" s="21">
        <v>0</v>
      </c>
      <c r="O217" s="21">
        <v>0</v>
      </c>
      <c r="P217" s="21">
        <v>0</v>
      </c>
      <c r="Q217" s="21">
        <v>0</v>
      </c>
      <c r="R217" s="21">
        <v>0</v>
      </c>
      <c r="S217" s="21">
        <v>0</v>
      </c>
    </row>
    <row r="218" spans="1:19" x14ac:dyDescent="0.2">
      <c r="A218" s="13">
        <f t="shared" si="56"/>
        <v>218</v>
      </c>
      <c r="B218" s="4" t="s">
        <v>95</v>
      </c>
      <c r="C218" s="4"/>
      <c r="D218" s="43" t="s">
        <v>508</v>
      </c>
      <c r="E218" s="44">
        <f t="shared" si="66"/>
        <v>166</v>
      </c>
      <c r="F218" s="45"/>
      <c r="G218" s="21">
        <f t="shared" si="67"/>
        <v>34926877.277307704</v>
      </c>
      <c r="H218" s="48">
        <f t="shared" si="68"/>
        <v>33502595.096114617</v>
      </c>
      <c r="I218" s="48">
        <f t="shared" si="68"/>
        <v>1424282.1811930917</v>
      </c>
      <c r="J218" s="20">
        <f t="shared" si="69"/>
        <v>0</v>
      </c>
      <c r="L218" s="21">
        <v>34925504.772307701</v>
      </c>
      <c r="M218" s="21">
        <v>34926877.277307704</v>
      </c>
      <c r="N218" s="21">
        <v>34926877.277307704</v>
      </c>
      <c r="O218" s="21">
        <v>34926877.277307704</v>
      </c>
      <c r="P218" s="21">
        <v>34925504.772307701</v>
      </c>
      <c r="Q218" s="21">
        <v>34925504.772307701</v>
      </c>
      <c r="R218" s="21">
        <v>34926877.277307704</v>
      </c>
      <c r="S218" s="21">
        <v>34926877.277307704</v>
      </c>
    </row>
    <row r="219" spans="1:19" x14ac:dyDescent="0.2">
      <c r="A219" s="13">
        <f t="shared" si="56"/>
        <v>219</v>
      </c>
      <c r="B219" s="4" t="s">
        <v>96</v>
      </c>
      <c r="C219" s="4"/>
      <c r="D219" s="43" t="s">
        <v>508</v>
      </c>
      <c r="E219" s="44">
        <f t="shared" si="66"/>
        <v>167</v>
      </c>
      <c r="F219" s="45"/>
      <c r="G219" s="21">
        <f t="shared" si="67"/>
        <v>16624266.4357692</v>
      </c>
      <c r="H219" s="48">
        <f t="shared" si="68"/>
        <v>15946345.925673785</v>
      </c>
      <c r="I219" s="48">
        <f t="shared" si="68"/>
        <v>677920.5100954168</v>
      </c>
      <c r="J219" s="20">
        <f t="shared" si="69"/>
        <v>0</v>
      </c>
      <c r="L219" s="21">
        <v>16551512.0107692</v>
      </c>
      <c r="M219" s="21">
        <v>16624266.4357692</v>
      </c>
      <c r="N219" s="21">
        <v>16624266.4357692</v>
      </c>
      <c r="O219" s="21">
        <v>16624266.4357692</v>
      </c>
      <c r="P219" s="21">
        <v>16551512.0107692</v>
      </c>
      <c r="Q219" s="21">
        <v>16551512.0107692</v>
      </c>
      <c r="R219" s="21">
        <v>16624266.4357692</v>
      </c>
      <c r="S219" s="21">
        <v>16624266.4357692</v>
      </c>
    </row>
    <row r="220" spans="1:19" x14ac:dyDescent="0.2">
      <c r="A220" s="13">
        <f t="shared" si="56"/>
        <v>220</v>
      </c>
      <c r="B220" s="4" t="s">
        <v>97</v>
      </c>
      <c r="C220" s="4"/>
      <c r="D220" s="43" t="s">
        <v>508</v>
      </c>
      <c r="E220" s="44">
        <f t="shared" si="66"/>
        <v>168</v>
      </c>
      <c r="F220" s="45"/>
      <c r="G220" s="21">
        <f t="shared" si="67"/>
        <v>24984894.2680769</v>
      </c>
      <c r="H220" s="48">
        <f t="shared" si="68"/>
        <v>23966035.942367505</v>
      </c>
      <c r="I220" s="48">
        <f t="shared" si="68"/>
        <v>1018858.3257093979</v>
      </c>
      <c r="J220" s="20">
        <f t="shared" si="69"/>
        <v>0</v>
      </c>
      <c r="L220" s="21">
        <v>24984894.3230769</v>
      </c>
      <c r="M220" s="21">
        <v>24984894.2680769</v>
      </c>
      <c r="N220" s="21">
        <v>24984894.2680769</v>
      </c>
      <c r="O220" s="21">
        <v>24984894.2680769</v>
      </c>
      <c r="P220" s="21">
        <v>24984894.3230769</v>
      </c>
      <c r="Q220" s="21">
        <v>24984894.3230769</v>
      </c>
      <c r="R220" s="21">
        <v>24984894.2680769</v>
      </c>
      <c r="S220" s="21">
        <v>24984894.2680769</v>
      </c>
    </row>
    <row r="221" spans="1:19" x14ac:dyDescent="0.2">
      <c r="A221" s="13">
        <f t="shared" si="56"/>
        <v>221</v>
      </c>
      <c r="B221" s="4" t="s">
        <v>98</v>
      </c>
      <c r="C221" s="4"/>
      <c r="D221" s="43" t="s">
        <v>508</v>
      </c>
      <c r="E221" s="44">
        <f t="shared" si="66"/>
        <v>169</v>
      </c>
      <c r="F221" s="45"/>
      <c r="G221" s="21">
        <f t="shared" si="67"/>
        <v>1173259.6023076898</v>
      </c>
      <c r="H221" s="48">
        <f t="shared" si="68"/>
        <v>1125415.280806717</v>
      </c>
      <c r="I221" s="48">
        <f t="shared" si="68"/>
        <v>47844.321500972925</v>
      </c>
      <c r="J221" s="20">
        <f t="shared" si="69"/>
        <v>0</v>
      </c>
      <c r="L221" s="21">
        <v>1173498.72230769</v>
      </c>
      <c r="M221" s="21">
        <v>1173259.6023076898</v>
      </c>
      <c r="N221" s="21">
        <v>1173259.6023076898</v>
      </c>
      <c r="O221" s="21">
        <v>1173259.6023076898</v>
      </c>
      <c r="P221" s="21">
        <v>1173498.72230769</v>
      </c>
      <c r="Q221" s="21">
        <v>1173498.72230769</v>
      </c>
      <c r="R221" s="21">
        <v>1173259.6023076898</v>
      </c>
      <c r="S221" s="21">
        <v>1173259.6023076898</v>
      </c>
    </row>
    <row r="222" spans="1:19" x14ac:dyDescent="0.2">
      <c r="A222" s="13">
        <f t="shared" si="56"/>
        <v>222</v>
      </c>
      <c r="B222" s="4" t="s">
        <v>99</v>
      </c>
      <c r="C222" s="4"/>
      <c r="D222" s="43" t="s">
        <v>508</v>
      </c>
      <c r="E222" s="44">
        <f t="shared" si="66"/>
        <v>170</v>
      </c>
      <c r="F222" s="45"/>
      <c r="G222" s="21">
        <f t="shared" si="67"/>
        <v>4253765.16384615</v>
      </c>
      <c r="H222" s="48">
        <f t="shared" si="68"/>
        <v>4080300.9896016843</v>
      </c>
      <c r="I222" s="48">
        <f t="shared" si="68"/>
        <v>173464.174244466</v>
      </c>
      <c r="J222" s="20">
        <f t="shared" si="69"/>
        <v>0</v>
      </c>
      <c r="L222" s="21">
        <v>4245227.33384615</v>
      </c>
      <c r="M222" s="21">
        <v>4253765.16384615</v>
      </c>
      <c r="N222" s="21">
        <v>4253765.16384615</v>
      </c>
      <c r="O222" s="21">
        <v>4253765.16384615</v>
      </c>
      <c r="P222" s="21">
        <v>4245227.33384615</v>
      </c>
      <c r="Q222" s="21">
        <v>4245227.33384615</v>
      </c>
      <c r="R222" s="21">
        <v>4253765.16384615</v>
      </c>
      <c r="S222" s="21">
        <v>4253765.16384615</v>
      </c>
    </row>
    <row r="223" spans="1:19" x14ac:dyDescent="0.2">
      <c r="A223" s="13">
        <f t="shared" si="56"/>
        <v>223</v>
      </c>
      <c r="B223" s="4" t="s">
        <v>100</v>
      </c>
      <c r="C223" s="4"/>
      <c r="D223" s="43" t="s">
        <v>508</v>
      </c>
      <c r="E223" s="44">
        <f t="shared" si="66"/>
        <v>171</v>
      </c>
      <c r="F223" s="45"/>
      <c r="G223" s="21">
        <f t="shared" si="67"/>
        <v>6507675.9880769197</v>
      </c>
      <c r="H223" s="48">
        <f t="shared" si="68"/>
        <v>6242299.6454624571</v>
      </c>
      <c r="I223" s="48">
        <f t="shared" si="68"/>
        <v>265376.34261446272</v>
      </c>
      <c r="J223" s="20">
        <f t="shared" si="69"/>
        <v>0</v>
      </c>
      <c r="L223" s="21">
        <v>6512214.6030769199</v>
      </c>
      <c r="M223" s="21">
        <v>6507675.9880769197</v>
      </c>
      <c r="N223" s="21">
        <v>6507675.9880769197</v>
      </c>
      <c r="O223" s="21">
        <v>6507675.9880769197</v>
      </c>
      <c r="P223" s="21">
        <v>6512214.6030769199</v>
      </c>
      <c r="Q223" s="21">
        <v>6512214.6030769199</v>
      </c>
      <c r="R223" s="21">
        <v>6507675.9880769197</v>
      </c>
      <c r="S223" s="21">
        <v>6507675.9880769197</v>
      </c>
    </row>
    <row r="224" spans="1:19" x14ac:dyDescent="0.2">
      <c r="A224" s="13">
        <f t="shared" si="56"/>
        <v>224</v>
      </c>
      <c r="B224" s="4" t="s">
        <v>101</v>
      </c>
      <c r="C224" s="4"/>
      <c r="D224" s="43" t="s">
        <v>508</v>
      </c>
      <c r="E224" s="44">
        <f t="shared" si="66"/>
        <v>172</v>
      </c>
      <c r="F224" s="45"/>
      <c r="G224" s="21">
        <f t="shared" si="67"/>
        <v>5027074.0192307699</v>
      </c>
      <c r="H224" s="48">
        <f t="shared" si="68"/>
        <v>4822075.1041465122</v>
      </c>
      <c r="I224" s="48">
        <f t="shared" si="68"/>
        <v>204998.9150842586</v>
      </c>
      <c r="J224" s="20">
        <f t="shared" si="69"/>
        <v>0</v>
      </c>
      <c r="L224" s="21">
        <v>5027074.0192307699</v>
      </c>
      <c r="M224" s="21">
        <v>5027074.0192307699</v>
      </c>
      <c r="N224" s="21">
        <v>5027074.0192307699</v>
      </c>
      <c r="O224" s="21">
        <v>5027074.0192307699</v>
      </c>
      <c r="P224" s="21">
        <v>5027074.0192307699</v>
      </c>
      <c r="Q224" s="21">
        <v>5027074.0192307699</v>
      </c>
      <c r="R224" s="21">
        <v>5027074.0192307699</v>
      </c>
      <c r="S224" s="21">
        <v>5027074.0192307699</v>
      </c>
    </row>
    <row r="225" spans="1:19" x14ac:dyDescent="0.2">
      <c r="A225" s="13">
        <f t="shared" si="56"/>
        <v>225</v>
      </c>
      <c r="B225" s="4" t="s">
        <v>102</v>
      </c>
      <c r="C225" s="4"/>
      <c r="D225" s="43" t="s">
        <v>508</v>
      </c>
      <c r="E225" s="44">
        <f t="shared" si="66"/>
        <v>173</v>
      </c>
      <c r="F225" s="45"/>
      <c r="G225" s="21">
        <f t="shared" si="67"/>
        <v>27058100.182692301</v>
      </c>
      <c r="H225" s="48">
        <f t="shared" si="68"/>
        <v>25954698.649220977</v>
      </c>
      <c r="I225" s="48">
        <f t="shared" si="68"/>
        <v>1103401.5334713275</v>
      </c>
      <c r="J225" s="20">
        <f t="shared" si="69"/>
        <v>0</v>
      </c>
      <c r="L225" s="21">
        <v>26852056.537692301</v>
      </c>
      <c r="M225" s="21">
        <v>27058100.182692301</v>
      </c>
      <c r="N225" s="21">
        <v>27058100.182692301</v>
      </c>
      <c r="O225" s="21">
        <v>27058100.182692301</v>
      </c>
      <c r="P225" s="21">
        <v>26852056.537692301</v>
      </c>
      <c r="Q225" s="21">
        <v>26852056.537692301</v>
      </c>
      <c r="R225" s="21">
        <v>27058100.182692301</v>
      </c>
      <c r="S225" s="21">
        <v>27058100.182692301</v>
      </c>
    </row>
    <row r="226" spans="1:19" x14ac:dyDescent="0.2">
      <c r="A226" s="13">
        <f t="shared" si="56"/>
        <v>226</v>
      </c>
      <c r="B226" s="4" t="s">
        <v>103</v>
      </c>
      <c r="C226" s="4"/>
      <c r="D226" s="43" t="s">
        <v>508</v>
      </c>
      <c r="E226" s="44">
        <f t="shared" si="66"/>
        <v>174</v>
      </c>
      <c r="F226" s="45"/>
      <c r="G226" s="21">
        <f t="shared" si="67"/>
        <v>3743793.4919230803</v>
      </c>
      <c r="H226" s="48">
        <f t="shared" si="68"/>
        <v>3591125.4386563464</v>
      </c>
      <c r="I226" s="48">
        <f t="shared" si="68"/>
        <v>152668.05326673435</v>
      </c>
      <c r="J226" s="20">
        <f t="shared" si="69"/>
        <v>0</v>
      </c>
      <c r="L226" s="21">
        <v>3710933.9769230802</v>
      </c>
      <c r="M226" s="21">
        <v>3743793.4919230803</v>
      </c>
      <c r="N226" s="21">
        <v>3743793.4919230803</v>
      </c>
      <c r="O226" s="21">
        <v>3743793.4919230803</v>
      </c>
      <c r="P226" s="21">
        <v>3710933.9769230802</v>
      </c>
      <c r="Q226" s="21">
        <v>3710933.9769230802</v>
      </c>
      <c r="R226" s="21">
        <v>3743793.4919230803</v>
      </c>
      <c r="S226" s="21">
        <v>3743793.4919230803</v>
      </c>
    </row>
    <row r="227" spans="1:19" x14ac:dyDescent="0.2">
      <c r="A227" s="13">
        <f t="shared" si="56"/>
        <v>227</v>
      </c>
      <c r="B227" s="4" t="s">
        <v>5</v>
      </c>
      <c r="C227" s="4" t="s">
        <v>104</v>
      </c>
      <c r="D227" s="43" t="s">
        <v>5</v>
      </c>
      <c r="E227" s="44" t="s">
        <v>5</v>
      </c>
      <c r="F227" s="45"/>
      <c r="G227" s="46">
        <f>SUM(G217:G223,G224:G226)</f>
        <v>124299706.42923072</v>
      </c>
      <c r="H227" s="46">
        <f t="shared" ref="H227:I227" si="70">SUM(H217:H223,H224:H226)</f>
        <v>119230892.0720506</v>
      </c>
      <c r="I227" s="46">
        <f t="shared" si="70"/>
        <v>5068814.3571801279</v>
      </c>
      <c r="J227" s="20">
        <f t="shared" si="69"/>
        <v>0</v>
      </c>
      <c r="L227" s="21">
        <v>0</v>
      </c>
      <c r="M227" s="21">
        <v>0</v>
      </c>
      <c r="N227" s="21">
        <v>0</v>
      </c>
      <c r="O227" s="21">
        <v>0</v>
      </c>
      <c r="P227" s="21">
        <v>0</v>
      </c>
      <c r="Q227" s="21">
        <v>0</v>
      </c>
      <c r="R227" s="21">
        <v>0</v>
      </c>
      <c r="S227" s="21">
        <v>0</v>
      </c>
    </row>
    <row r="228" spans="1:19" x14ac:dyDescent="0.2">
      <c r="A228" s="13">
        <f t="shared" si="56"/>
        <v>228</v>
      </c>
      <c r="B228" s="4"/>
      <c r="C228" s="4"/>
      <c r="D228" s="43"/>
      <c r="E228" s="44"/>
      <c r="F228" s="45"/>
      <c r="G228" s="46"/>
      <c r="H228" s="46"/>
      <c r="I228" s="46"/>
      <c r="L228" s="21">
        <v>0</v>
      </c>
      <c r="M228" s="21">
        <v>0</v>
      </c>
      <c r="N228" s="21">
        <v>0</v>
      </c>
      <c r="O228" s="21">
        <v>0</v>
      </c>
      <c r="P228" s="21">
        <v>0</v>
      </c>
      <c r="Q228" s="21">
        <v>0</v>
      </c>
      <c r="R228" s="21">
        <v>0</v>
      </c>
      <c r="S228" s="21">
        <v>0</v>
      </c>
    </row>
    <row r="229" spans="1:19" x14ac:dyDescent="0.2">
      <c r="A229" s="13">
        <f t="shared" si="56"/>
        <v>229</v>
      </c>
      <c r="B229" s="4" t="s">
        <v>106</v>
      </c>
      <c r="C229" s="4"/>
      <c r="D229" s="43" t="s">
        <v>508</v>
      </c>
      <c r="E229" s="44">
        <f>A97</f>
        <v>97</v>
      </c>
      <c r="F229" s="45"/>
      <c r="G229" s="21">
        <f>IF($E$1149=1,($L229),IF($E$1149=2,($M229),IF($E$1149=3,($N229),IF($E$1149=4,($O229),IF($E$1149=5,($P229),IF($E$1149=6,($Q229),IF($E$1149=7,($R229),IF($E$1149=8,($S229),0))))))))</f>
        <v>0</v>
      </c>
      <c r="H229" s="48">
        <f t="shared" ref="H229:I229" si="71">IF($G$97&lt;&gt;0,($G229)*(H$97/$G$97),0)</f>
        <v>0</v>
      </c>
      <c r="I229" s="48">
        <f t="shared" si="71"/>
        <v>0</v>
      </c>
      <c r="J229" s="20">
        <f>IF($E$1149=1,($G229),IF($E$1149=2,($G229),IF($E$1149=3,0,IF($E$1149=4,($H229),IF($E$1149=5,($I229),0)))))</f>
        <v>0</v>
      </c>
      <c r="L229" s="21">
        <v>0</v>
      </c>
      <c r="M229" s="21">
        <v>0</v>
      </c>
      <c r="N229" s="21">
        <v>0</v>
      </c>
      <c r="O229" s="21">
        <v>0</v>
      </c>
      <c r="P229" s="21">
        <v>0</v>
      </c>
      <c r="Q229" s="21">
        <v>0</v>
      </c>
      <c r="R229" s="21">
        <v>0</v>
      </c>
      <c r="S229" s="21">
        <v>0</v>
      </c>
    </row>
    <row r="230" spans="1:19" x14ac:dyDescent="0.2">
      <c r="A230" s="13">
        <f t="shared" si="56"/>
        <v>230</v>
      </c>
      <c r="B230" s="4"/>
      <c r="C230" s="4" t="s">
        <v>107</v>
      </c>
      <c r="D230" s="43"/>
      <c r="E230" s="44"/>
      <c r="F230" s="45"/>
      <c r="G230" s="46">
        <f>IF(ROUND(SUM(G$187+G$197+G$212+$G227+G$229),0)=ROUND(SUM(H$230:I$230),0),SUM(G$187+G$197+G$212+G$227+G$229),"      WRONG")</f>
        <v>2189114797.2869234</v>
      </c>
      <c r="H230" s="46">
        <f t="shared" ref="H230:I230" si="72">SUM(H$187+H$197+H$212+H$227+H$229)</f>
        <v>2097743574.2260404</v>
      </c>
      <c r="I230" s="46">
        <f t="shared" si="72"/>
        <v>91371223.060883313</v>
      </c>
      <c r="J230" s="20">
        <f>IF($E$1149=1,($G230),IF($E$1149=2,($G230),IF($E$1149=3,0,IF($E$1149=4,($H230),IF($E$1149=5,($I230),0)))))</f>
        <v>0</v>
      </c>
      <c r="L230" s="21">
        <v>3889991.9</v>
      </c>
      <c r="M230" s="21">
        <v>3889991.9</v>
      </c>
      <c r="N230" s="21">
        <v>3889991.9</v>
      </c>
      <c r="O230" s="21">
        <v>3889991.9</v>
      </c>
      <c r="P230" s="21">
        <v>3889991.9</v>
      </c>
      <c r="Q230" s="21">
        <v>3889991.9</v>
      </c>
      <c r="R230" s="21">
        <v>3889991.9</v>
      </c>
      <c r="S230" s="21">
        <v>3889991.9</v>
      </c>
    </row>
    <row r="231" spans="1:19" x14ac:dyDescent="0.2">
      <c r="A231" s="13">
        <f t="shared" si="56"/>
        <v>231</v>
      </c>
      <c r="B231" s="4"/>
      <c r="C231" s="4"/>
      <c r="D231" s="43"/>
      <c r="E231" s="44"/>
      <c r="F231" s="45"/>
      <c r="G231" s="21"/>
      <c r="H231" s="48"/>
      <c r="I231" s="48"/>
    </row>
    <row r="232" spans="1:19" x14ac:dyDescent="0.2">
      <c r="A232" s="13">
        <f t="shared" si="56"/>
        <v>232</v>
      </c>
      <c r="B232" s="4" t="s">
        <v>108</v>
      </c>
      <c r="C232" s="4"/>
      <c r="D232" s="43" t="s">
        <v>508</v>
      </c>
      <c r="E232" s="44">
        <f>A97</f>
        <v>97</v>
      </c>
      <c r="F232" s="45"/>
      <c r="G232" s="21">
        <f>IF($E$1149=1,($L232),IF($E$1149=2,($M232),IF($E$1149=3,($N232),IF($E$1149=4,($O232),IF($E$1149=5,($P232),IF($E$1149=6,($Q232),IF($E$1149=7,($R232),IF($E$1149=8,($S232),0))))))))</f>
        <v>3889991.9</v>
      </c>
      <c r="H232" s="48">
        <f>IF($G97&lt;&gt;0,($G232)*($H$97/$G$97),0)</f>
        <v>3733037.8813348869</v>
      </c>
      <c r="I232" s="48">
        <f>IF($G97&lt;&gt;0,($G232)*($I$97/$G$97),0)</f>
        <v>156954.01866511253</v>
      </c>
      <c r="J232" s="20">
        <f>IF($E$1149=1,($G232),IF($E$1149=2,($G232),IF($E$1149=3,0,IF($E$1149=4,($H232),IF($E$1149=5,($I232),0)))))</f>
        <v>0</v>
      </c>
      <c r="L232" s="21">
        <v>3889991.9</v>
      </c>
      <c r="M232" s="21">
        <v>3889991.9</v>
      </c>
      <c r="N232" s="21">
        <v>3889991.9</v>
      </c>
      <c r="O232" s="21">
        <v>3889991.9</v>
      </c>
      <c r="P232" s="21">
        <v>3889991.9</v>
      </c>
      <c r="Q232" s="21">
        <v>3889991.9</v>
      </c>
      <c r="R232" s="21">
        <v>3889991.9</v>
      </c>
      <c r="S232" s="21">
        <v>3889991.9</v>
      </c>
    </row>
    <row r="233" spans="1:19" x14ac:dyDescent="0.2">
      <c r="A233" s="13">
        <f t="shared" si="56"/>
        <v>233</v>
      </c>
      <c r="B233" s="4" t="s">
        <v>5</v>
      </c>
      <c r="C233" s="4" t="s">
        <v>109</v>
      </c>
      <c r="D233" s="43" t="s">
        <v>5</v>
      </c>
      <c r="E233" s="44" t="s">
        <v>5</v>
      </c>
      <c r="F233" s="45"/>
      <c r="G233" s="42">
        <f>SUM(G230:G232)</f>
        <v>2193004789.1869235</v>
      </c>
      <c r="H233" s="42">
        <f>SUM(H230:H232)</f>
        <v>2101476612.1073751</v>
      </c>
      <c r="I233" s="42">
        <f>SUM(I230:I232)</f>
        <v>91528177.079548419</v>
      </c>
      <c r="J233" s="20">
        <f>IF($E$1149=1,($G233),IF($E$1149=2,($G233),IF($E$1149=3,0,IF($E$1149=4,($H233),IF($E$1149=5,($I233),0)))))</f>
        <v>0</v>
      </c>
      <c r="L233" s="21">
        <v>3889991.9</v>
      </c>
      <c r="M233" s="21">
        <v>3889991.9</v>
      </c>
      <c r="N233" s="21">
        <v>3889991.9</v>
      </c>
      <c r="O233" s="21">
        <v>3889991.9</v>
      </c>
      <c r="P233" s="21">
        <v>3889991.9</v>
      </c>
      <c r="Q233" s="21">
        <v>3889991.9</v>
      </c>
      <c r="R233" s="21">
        <v>3889991.9</v>
      </c>
      <c r="S233" s="21">
        <v>3889991.9</v>
      </c>
    </row>
    <row r="234" spans="1:19" x14ac:dyDescent="0.2">
      <c r="A234" s="13">
        <f t="shared" si="56"/>
        <v>234</v>
      </c>
      <c r="B234" s="4" t="s">
        <v>5</v>
      </c>
      <c r="C234" s="4" t="s">
        <v>5</v>
      </c>
      <c r="D234" s="43" t="s">
        <v>5</v>
      </c>
      <c r="E234" s="44" t="s">
        <v>5</v>
      </c>
      <c r="F234" s="45"/>
    </row>
    <row r="235" spans="1:19" x14ac:dyDescent="0.2">
      <c r="A235" s="13">
        <f t="shared" si="56"/>
        <v>235</v>
      </c>
      <c r="B235" s="4" t="s">
        <v>110</v>
      </c>
      <c r="C235" s="4"/>
      <c r="D235" s="43"/>
      <c r="E235" s="44"/>
      <c r="F235" s="45"/>
    </row>
    <row r="236" spans="1:19" x14ac:dyDescent="0.2">
      <c r="A236" s="13">
        <f t="shared" si="56"/>
        <v>236</v>
      </c>
      <c r="B236" s="4" t="s">
        <v>5</v>
      </c>
      <c r="C236" s="4" t="s">
        <v>51</v>
      </c>
      <c r="D236" s="43" t="s">
        <v>508</v>
      </c>
      <c r="E236" s="44">
        <f>A97</f>
        <v>97</v>
      </c>
      <c r="F236" s="45"/>
      <c r="G236" s="21">
        <f>IF($E$1149=1,($L236),IF($E$1149=2,($M236),IF($E$1149=3,($N236),IF($E$1149=4,($O236),IF($E$1149=5,($P236),IF($E$1149=6,($Q236),IF($E$1149=7,($R236),IF($E$1149=8,($S236),0))))))))</f>
        <v>16222908.400384601</v>
      </c>
      <c r="H236" s="48">
        <f t="shared" ref="H236:I236" si="73">IF($G$97&lt;&gt;0,($G236)*(H$97/$G$97),0)</f>
        <v>15568343.883713914</v>
      </c>
      <c r="I236" s="48">
        <f t="shared" si="73"/>
        <v>654564.51667068386</v>
      </c>
      <c r="J236" s="20">
        <f>IF($E$1149=1,($G236),IF($E$1149=2,($G236),IF($E$1149=3,0,IF($E$1149=4,($H236),IF($E$1149=5,($I236),0)))))</f>
        <v>0</v>
      </c>
      <c r="L236" s="21">
        <v>16215995.2253846</v>
      </c>
      <c r="M236" s="21">
        <v>16222908.400384601</v>
      </c>
      <c r="N236" s="21">
        <v>16222908.400384601</v>
      </c>
      <c r="O236" s="21">
        <v>16222908.400384601</v>
      </c>
      <c r="P236" s="21">
        <v>16215995.2253846</v>
      </c>
      <c r="Q236" s="21">
        <v>16215995.2253846</v>
      </c>
      <c r="R236" s="21">
        <v>16222908.400384601</v>
      </c>
      <c r="S236" s="21">
        <v>16222908.400384601</v>
      </c>
    </row>
    <row r="237" spans="1:19" x14ac:dyDescent="0.2">
      <c r="A237" s="13">
        <f t="shared" si="56"/>
        <v>237</v>
      </c>
      <c r="B237" s="4" t="s">
        <v>5</v>
      </c>
      <c r="C237" s="4" t="s">
        <v>111</v>
      </c>
      <c r="D237" s="43" t="s">
        <v>508</v>
      </c>
      <c r="E237" s="44">
        <f>A101</f>
        <v>101</v>
      </c>
      <c r="F237" s="45"/>
      <c r="G237" s="21">
        <f>IF($E$1149=1,($L237),IF($E$1149=2,($M237),IF($E$1149=3,($N237),IF($E$1149=4,($O237),IF($E$1149=5,($P237),IF($E$1149=6,($Q237),IF($E$1149=7,($R237),IF($E$1149=8,($S237),0))))))))</f>
        <v>19716674.188076898</v>
      </c>
      <c r="H237" s="48">
        <f t="shared" ref="H237:I237" si="74">IF($G$101&lt;&gt;0,($G237)*(H$101/$G$101),0)</f>
        <v>18930885.53196118</v>
      </c>
      <c r="I237" s="48">
        <f t="shared" si="74"/>
        <v>785788.65611571958</v>
      </c>
      <c r="J237" s="20">
        <f>IF($E$1149=1,($G237),IF($E$1149=2,($G237),IF($E$1149=3,0,IF($E$1149=4,($H237),IF($E$1149=5,($I237),0)))))</f>
        <v>0</v>
      </c>
      <c r="L237" s="21">
        <v>19506652.3230769</v>
      </c>
      <c r="M237" s="21">
        <v>19716674.188076898</v>
      </c>
      <c r="N237" s="21">
        <v>19716674.188076898</v>
      </c>
      <c r="O237" s="21">
        <v>19716674.188076898</v>
      </c>
      <c r="P237" s="21">
        <v>19506652.3230769</v>
      </c>
      <c r="Q237" s="21">
        <v>19506652.3230769</v>
      </c>
      <c r="R237" s="21">
        <v>19716674.188076898</v>
      </c>
      <c r="S237" s="21">
        <v>19716674.188076898</v>
      </c>
    </row>
    <row r="238" spans="1:19" x14ac:dyDescent="0.2">
      <c r="A238" s="13">
        <f t="shared" si="56"/>
        <v>238</v>
      </c>
      <c r="B238" s="4" t="s">
        <v>5</v>
      </c>
      <c r="C238" s="4" t="s">
        <v>5</v>
      </c>
      <c r="D238" s="43" t="s">
        <v>5</v>
      </c>
      <c r="E238" s="44" t="s">
        <v>5</v>
      </c>
      <c r="F238" s="45"/>
      <c r="L238" s="21">
        <v>0</v>
      </c>
      <c r="M238" s="21">
        <v>0</v>
      </c>
      <c r="N238" s="21">
        <v>0</v>
      </c>
      <c r="O238" s="21">
        <v>0</v>
      </c>
      <c r="P238" s="21">
        <v>0</v>
      </c>
      <c r="Q238" s="21">
        <v>0</v>
      </c>
      <c r="R238" s="21">
        <v>0</v>
      </c>
      <c r="S238" s="21">
        <v>0</v>
      </c>
    </row>
    <row r="239" spans="1:19" x14ac:dyDescent="0.2">
      <c r="A239" s="13">
        <f t="shared" si="56"/>
        <v>239</v>
      </c>
      <c r="B239" s="4" t="s">
        <v>5</v>
      </c>
      <c r="C239" s="4" t="s">
        <v>112</v>
      </c>
      <c r="D239" s="43"/>
      <c r="E239" s="44" t="s">
        <v>5</v>
      </c>
      <c r="F239" s="45"/>
      <c r="G239" s="46">
        <f>SUM(G236:G237)</f>
        <v>35939582.588461503</v>
      </c>
      <c r="H239" s="46">
        <f t="shared" ref="H239:I239" si="75">SUM(H236:H237)</f>
        <v>34499229.415675096</v>
      </c>
      <c r="I239" s="46">
        <f t="shared" si="75"/>
        <v>1440353.1727864034</v>
      </c>
      <c r="J239" s="20">
        <f>IF($E$1149=1,($G239),IF($E$1149=2,($G239),IF($E$1149=3,0,IF($E$1149=4,($H239),IF($E$1149=5,($I239),0)))))</f>
        <v>0</v>
      </c>
      <c r="L239" s="21">
        <v>0</v>
      </c>
      <c r="M239" s="21">
        <v>0</v>
      </c>
      <c r="N239" s="21">
        <v>0</v>
      </c>
      <c r="O239" s="21">
        <v>0</v>
      </c>
      <c r="P239" s="21">
        <v>0</v>
      </c>
      <c r="Q239" s="21">
        <v>0</v>
      </c>
      <c r="R239" s="21">
        <v>0</v>
      </c>
      <c r="S239" s="21">
        <v>0</v>
      </c>
    </row>
    <row r="240" spans="1:19" x14ac:dyDescent="0.2">
      <c r="A240" s="13">
        <f t="shared" si="56"/>
        <v>240</v>
      </c>
      <c r="B240" s="4" t="s">
        <v>5</v>
      </c>
      <c r="C240" s="4" t="s">
        <v>5</v>
      </c>
      <c r="D240" s="43" t="s">
        <v>5</v>
      </c>
      <c r="E240" s="44" t="s">
        <v>5</v>
      </c>
      <c r="F240" s="45"/>
      <c r="G240" s="46"/>
      <c r="H240" s="46"/>
      <c r="I240" s="46"/>
      <c r="L240" s="21">
        <v>0</v>
      </c>
      <c r="M240" s="21">
        <v>0</v>
      </c>
      <c r="N240" s="21">
        <v>0</v>
      </c>
      <c r="O240" s="21">
        <v>0</v>
      </c>
      <c r="P240" s="21">
        <v>0</v>
      </c>
      <c r="Q240" s="21">
        <v>0</v>
      </c>
      <c r="R240" s="21">
        <v>0</v>
      </c>
      <c r="S240" s="21">
        <v>0</v>
      </c>
    </row>
    <row r="241" spans="1:19" x14ac:dyDescent="0.2">
      <c r="A241" s="13">
        <f t="shared" si="56"/>
        <v>241</v>
      </c>
      <c r="B241" s="4" t="s">
        <v>5</v>
      </c>
      <c r="C241" s="4" t="s">
        <v>113</v>
      </c>
      <c r="D241" s="43"/>
      <c r="E241" s="44"/>
      <c r="F241" s="45"/>
      <c r="G241" s="46"/>
      <c r="H241" s="46"/>
      <c r="I241" s="46"/>
      <c r="L241" s="21">
        <v>0</v>
      </c>
      <c r="M241" s="21">
        <v>0</v>
      </c>
      <c r="N241" s="21">
        <v>0</v>
      </c>
      <c r="O241" s="21">
        <v>0</v>
      </c>
      <c r="P241" s="21">
        <v>0</v>
      </c>
      <c r="Q241" s="21">
        <v>0</v>
      </c>
      <c r="R241" s="21">
        <v>0</v>
      </c>
      <c r="S241" s="21">
        <v>0</v>
      </c>
    </row>
    <row r="242" spans="1:19" x14ac:dyDescent="0.2">
      <c r="A242" s="13">
        <f t="shared" si="56"/>
        <v>242</v>
      </c>
      <c r="B242" s="4" t="s">
        <v>5</v>
      </c>
      <c r="C242" s="4" t="s">
        <v>114</v>
      </c>
      <c r="D242" s="43" t="s">
        <v>5</v>
      </c>
      <c r="E242" s="44" t="s">
        <v>5</v>
      </c>
      <c r="F242" s="45"/>
      <c r="G242" s="46">
        <f t="shared" ref="G242:I242" si="76">SUM(G233+G239)</f>
        <v>2228944371.7753849</v>
      </c>
      <c r="H242" s="46">
        <f t="shared" si="76"/>
        <v>2135975841.5230503</v>
      </c>
      <c r="I242" s="46">
        <f t="shared" si="76"/>
        <v>92968530.252334818</v>
      </c>
      <c r="J242" s="20">
        <f>IF($E$1149=1,($G242),IF($E$1149=2,($G242),IF($E$1149=3,0,IF($E$1149=4,($H242),IF($E$1149=5,($I242),0)))))</f>
        <v>0</v>
      </c>
      <c r="L242" s="21">
        <v>0</v>
      </c>
      <c r="M242" s="21">
        <v>0</v>
      </c>
      <c r="N242" s="21">
        <v>0</v>
      </c>
      <c r="O242" s="21">
        <v>0</v>
      </c>
      <c r="P242" s="21">
        <v>0</v>
      </c>
      <c r="Q242" s="21">
        <v>0</v>
      </c>
      <c r="R242" s="21">
        <v>0</v>
      </c>
      <c r="S242" s="21">
        <v>0</v>
      </c>
    </row>
    <row r="243" spans="1:19" x14ac:dyDescent="0.2">
      <c r="A243" s="13">
        <f t="shared" si="56"/>
        <v>243</v>
      </c>
      <c r="B243" s="4" t="s">
        <v>5</v>
      </c>
      <c r="C243" s="4" t="s">
        <v>5</v>
      </c>
      <c r="D243" s="43" t="s">
        <v>5</v>
      </c>
      <c r="E243" s="44" t="s">
        <v>5</v>
      </c>
      <c r="F243" s="45"/>
      <c r="L243" s="21">
        <v>0</v>
      </c>
      <c r="M243" s="21">
        <v>0</v>
      </c>
      <c r="N243" s="21">
        <v>0</v>
      </c>
      <c r="O243" s="21">
        <v>0</v>
      </c>
      <c r="P243" s="21">
        <v>0</v>
      </c>
      <c r="Q243" s="21">
        <v>0</v>
      </c>
      <c r="R243" s="21">
        <v>0</v>
      </c>
      <c r="S243" s="21">
        <v>0</v>
      </c>
    </row>
    <row r="244" spans="1:19" x14ac:dyDescent="0.2">
      <c r="A244" s="13">
        <f t="shared" si="56"/>
        <v>244</v>
      </c>
      <c r="B244" s="38" t="str">
        <f>"* * * TABLE 3 - ADDITIONS &amp; DELETIONS TO RATE BASE * * *"</f>
        <v>* * * TABLE 3 - ADDITIONS &amp; DELETIONS TO RATE BASE * * *</v>
      </c>
      <c r="C244" s="4"/>
      <c r="D244" s="43"/>
      <c r="E244" s="44"/>
      <c r="F244" s="45"/>
      <c r="L244" s="21">
        <v>0</v>
      </c>
      <c r="M244" s="21">
        <v>0</v>
      </c>
      <c r="N244" s="21">
        <v>0</v>
      </c>
      <c r="O244" s="21">
        <v>0</v>
      </c>
      <c r="P244" s="21">
        <v>0</v>
      </c>
      <c r="Q244" s="21">
        <v>0</v>
      </c>
      <c r="R244" s="21">
        <v>0</v>
      </c>
      <c r="S244" s="21">
        <v>0</v>
      </c>
    </row>
    <row r="245" spans="1:19" x14ac:dyDescent="0.2">
      <c r="A245" s="13">
        <f t="shared" si="56"/>
        <v>245</v>
      </c>
      <c r="B245" s="4" t="str">
        <f>" "</f>
        <v xml:space="preserve"> </v>
      </c>
      <c r="C245" s="4"/>
      <c r="D245" s="43"/>
      <c r="E245" s="44"/>
      <c r="F245" s="45"/>
      <c r="L245" s="21">
        <v>0</v>
      </c>
      <c r="M245" s="21">
        <v>0</v>
      </c>
      <c r="N245" s="21">
        <v>0</v>
      </c>
      <c r="O245" s="21">
        <v>0</v>
      </c>
      <c r="P245" s="21">
        <v>0</v>
      </c>
      <c r="Q245" s="21">
        <v>0</v>
      </c>
      <c r="R245" s="21">
        <v>0</v>
      </c>
      <c r="S245" s="21">
        <v>0</v>
      </c>
    </row>
    <row r="246" spans="1:19" x14ac:dyDescent="0.2">
      <c r="A246" s="13">
        <f t="shared" si="56"/>
        <v>246</v>
      </c>
      <c r="B246" s="4" t="s">
        <v>115</v>
      </c>
      <c r="C246" s="4"/>
      <c r="D246" s="43" t="s">
        <v>5</v>
      </c>
      <c r="E246" s="44" t="s">
        <v>5</v>
      </c>
      <c r="F246" s="45"/>
      <c r="G246" s="46">
        <f t="shared" ref="G246:I246" si="77">SUM(G178-G242)</f>
        <v>3871678835.2110767</v>
      </c>
      <c r="H246" s="46">
        <f t="shared" si="77"/>
        <v>3715904421.1967421</v>
      </c>
      <c r="I246" s="46">
        <f t="shared" si="77"/>
        <v>155774414.01433504</v>
      </c>
      <c r="J246" s="20">
        <f>IF($E$1149=1,($G246),IF($E$1149=2,($G246),IF($E$1149=3,0,IF($E$1149=4,($H246),IF($E$1149=5,($I246),0)))))</f>
        <v>0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  <c r="Q246" s="21">
        <v>0</v>
      </c>
      <c r="R246" s="21">
        <v>0</v>
      </c>
      <c r="S246" s="21">
        <v>0</v>
      </c>
    </row>
    <row r="247" spans="1:19" x14ac:dyDescent="0.2">
      <c r="A247" s="13">
        <f t="shared" si="56"/>
        <v>247</v>
      </c>
      <c r="B247" s="4" t="s">
        <v>116</v>
      </c>
      <c r="C247" s="4"/>
      <c r="D247" s="43" t="s">
        <v>5</v>
      </c>
      <c r="E247" s="44" t="s">
        <v>5</v>
      </c>
      <c r="F247" s="45"/>
      <c r="L247" s="21">
        <v>0</v>
      </c>
      <c r="M247" s="21">
        <v>0</v>
      </c>
      <c r="N247" s="21">
        <v>0</v>
      </c>
      <c r="O247" s="21">
        <v>0</v>
      </c>
      <c r="P247" s="21">
        <v>0</v>
      </c>
      <c r="Q247" s="21">
        <v>0</v>
      </c>
      <c r="R247" s="21">
        <v>0</v>
      </c>
      <c r="S247" s="21">
        <v>0</v>
      </c>
    </row>
    <row r="248" spans="1:19" x14ac:dyDescent="0.2">
      <c r="A248" s="13">
        <f t="shared" si="56"/>
        <v>248</v>
      </c>
      <c r="B248" s="4" t="s">
        <v>117</v>
      </c>
      <c r="C248" s="4"/>
      <c r="D248" s="43" t="s">
        <v>5</v>
      </c>
      <c r="E248" s="44" t="s">
        <v>5</v>
      </c>
      <c r="F248" s="45"/>
      <c r="L248" s="21">
        <v>0</v>
      </c>
      <c r="M248" s="21">
        <v>0</v>
      </c>
      <c r="N248" s="21">
        <v>0</v>
      </c>
      <c r="O248" s="21">
        <v>0</v>
      </c>
      <c r="P248" s="21">
        <v>0</v>
      </c>
      <c r="Q248" s="21">
        <v>0</v>
      </c>
      <c r="R248" s="21">
        <v>0</v>
      </c>
      <c r="S248" s="21">
        <v>0</v>
      </c>
    </row>
    <row r="249" spans="1:19" x14ac:dyDescent="0.2">
      <c r="A249" s="13">
        <f t="shared" si="56"/>
        <v>249</v>
      </c>
      <c r="B249" s="4" t="s">
        <v>5</v>
      </c>
      <c r="C249" s="4" t="s">
        <v>118</v>
      </c>
      <c r="D249" s="43" t="s">
        <v>5</v>
      </c>
      <c r="E249" s="44" t="str">
        <f>(E$1004)</f>
        <v>D10</v>
      </c>
      <c r="F249" s="45"/>
      <c r="G249" s="21">
        <f>IF($E$1149=1,($L249),IF($E$1149=2,($M249),IF($E$1149=3,($N249),IF($E$1149=4,($O249),IF($E$1149=5,($P249),IF($E$1149=6,($Q249),IF($E$1149=7,($R249),IF($E$1149=8,($S249),0))))))))</f>
        <v>0</v>
      </c>
      <c r="H249" s="48">
        <f>IF($G$1004&lt;&gt;0,($G249)*(H$1004/$G$1004),0)</f>
        <v>0</v>
      </c>
      <c r="I249" s="48">
        <f>IF($G$1004&lt;&gt;0,($G249)*(I$1004/$G$1004),0)</f>
        <v>0</v>
      </c>
      <c r="J249" s="20">
        <f>IF($E$1149=1,($G249),IF($E$1149=2,($G249),IF($E$1149=3,0,IF($E$1149=4,($H249),IF($E$1149=5,($I249),0)))))</f>
        <v>0</v>
      </c>
      <c r="L249" s="21">
        <v>0</v>
      </c>
      <c r="M249" s="21">
        <v>0</v>
      </c>
      <c r="N249" s="21">
        <v>0</v>
      </c>
      <c r="O249" s="21">
        <v>0</v>
      </c>
      <c r="P249" s="21">
        <v>0</v>
      </c>
      <c r="Q249" s="21">
        <v>0</v>
      </c>
      <c r="R249" s="21">
        <v>0</v>
      </c>
      <c r="S249" s="21">
        <v>0</v>
      </c>
    </row>
    <row r="250" spans="1:19" x14ac:dyDescent="0.2">
      <c r="A250" s="13">
        <f t="shared" si="56"/>
        <v>250</v>
      </c>
      <c r="B250" s="4" t="s">
        <v>5</v>
      </c>
      <c r="C250" s="4" t="s">
        <v>119</v>
      </c>
      <c r="D250" s="43" t="s">
        <v>5</v>
      </c>
      <c r="E250" s="44" t="str">
        <f>(E$1024)</f>
        <v>DA252</v>
      </c>
      <c r="F250" s="45"/>
      <c r="G250" s="21">
        <f>IF($E$1149=1,($L250),IF($E$1149=2,($M250),IF($E$1149=3,($N250),IF($E$1149=4,($O250),IF($E$1149=5,($P250),IF($E$1149=6,($Q250),IF($E$1149=7,($R250),IF($E$1149=8,($S250),0))))))))</f>
        <v>6957882.9738461617</v>
      </c>
      <c r="H250" s="48">
        <f>IF($G$1024&lt;&gt;0,($G250)*(H$1024/$G$1024),0)</f>
        <v>6900428.2194322022</v>
      </c>
      <c r="I250" s="48">
        <f>IF($G$1024&lt;&gt;0,($G250)*(I$1024/$G$1024),0)</f>
        <v>57454.754413959432</v>
      </c>
      <c r="J250" s="20">
        <f>IF($E$1149=1,($G250),IF($E$1149=2,($G250),IF($E$1149=3,0,IF($E$1149=4,($H250),IF($E$1149=5,($I250),0)))))</f>
        <v>0</v>
      </c>
      <c r="L250" s="21">
        <v>6957882.9738461617</v>
      </c>
      <c r="M250" s="21">
        <v>6957882.9738461617</v>
      </c>
      <c r="N250" s="21">
        <v>6957882.9738461617</v>
      </c>
      <c r="O250" s="21">
        <v>6957882.9738461617</v>
      </c>
      <c r="P250" s="21">
        <v>6957882.9738461617</v>
      </c>
      <c r="Q250" s="21">
        <v>6957882.9738461617</v>
      </c>
      <c r="R250" s="21">
        <v>6957882.9738461617</v>
      </c>
      <c r="S250" s="21">
        <v>6957882.9738461617</v>
      </c>
    </row>
    <row r="251" spans="1:19" x14ac:dyDescent="0.2">
      <c r="A251" s="13">
        <f t="shared" si="56"/>
        <v>251</v>
      </c>
      <c r="B251" s="4" t="s">
        <v>5</v>
      </c>
      <c r="C251" s="4" t="s">
        <v>120</v>
      </c>
      <c r="D251" s="43" t="s">
        <v>5</v>
      </c>
      <c r="E251" s="44" t="s">
        <v>5</v>
      </c>
      <c r="F251" s="45"/>
      <c r="G251" s="46">
        <f>SUM(G249:G250)</f>
        <v>6957882.9738461617</v>
      </c>
      <c r="H251" s="46">
        <f t="shared" ref="H251:I251" si="78">SUM(H249:H250)</f>
        <v>6900428.2194322022</v>
      </c>
      <c r="I251" s="46">
        <f t="shared" si="78"/>
        <v>57454.754413959432</v>
      </c>
      <c r="J251" s="20">
        <f>IF($E$1149=1,($G251),IF($E$1149=2,($G251),IF($E$1149=3,0,IF($E$1149=4,($H251),IF($E$1149=5,($I251),0)))))</f>
        <v>0</v>
      </c>
      <c r="L251" s="21">
        <v>0</v>
      </c>
      <c r="M251" s="21">
        <v>0</v>
      </c>
      <c r="N251" s="21">
        <v>0</v>
      </c>
      <c r="O251" s="21">
        <v>0</v>
      </c>
      <c r="P251" s="21">
        <v>0</v>
      </c>
      <c r="Q251" s="21">
        <v>0</v>
      </c>
      <c r="R251" s="21">
        <v>0</v>
      </c>
      <c r="S251" s="21">
        <v>0</v>
      </c>
    </row>
    <row r="252" spans="1:19" x14ac:dyDescent="0.2">
      <c r="A252" s="13">
        <f t="shared" si="56"/>
        <v>252</v>
      </c>
      <c r="B252" s="4" t="s">
        <v>5</v>
      </c>
      <c r="C252" s="4" t="s">
        <v>5</v>
      </c>
      <c r="D252" s="43" t="s">
        <v>5</v>
      </c>
      <c r="E252" s="44" t="s">
        <v>5</v>
      </c>
      <c r="F252" s="45"/>
      <c r="L252" s="21">
        <v>0</v>
      </c>
      <c r="M252" s="21">
        <v>0</v>
      </c>
      <c r="N252" s="21">
        <v>0</v>
      </c>
      <c r="O252" s="21">
        <v>0</v>
      </c>
      <c r="P252" s="21">
        <v>0</v>
      </c>
      <c r="Q252" s="21">
        <v>0</v>
      </c>
      <c r="R252" s="21">
        <v>0</v>
      </c>
      <c r="S252" s="21">
        <v>0</v>
      </c>
    </row>
    <row r="253" spans="1:19" x14ac:dyDescent="0.2">
      <c r="A253" s="13">
        <f t="shared" si="56"/>
        <v>253</v>
      </c>
      <c r="B253" s="4" t="s">
        <v>121</v>
      </c>
      <c r="C253" s="4"/>
      <c r="D253" s="43" t="s">
        <v>5</v>
      </c>
      <c r="E253" s="44" t="s">
        <v>5</v>
      </c>
      <c r="F253" s="45"/>
      <c r="L253" s="21">
        <v>0</v>
      </c>
      <c r="M253" s="21">
        <v>0</v>
      </c>
      <c r="N253" s="21">
        <v>0</v>
      </c>
      <c r="O253" s="21">
        <v>0</v>
      </c>
      <c r="P253" s="21">
        <v>0</v>
      </c>
      <c r="Q253" s="21">
        <v>0</v>
      </c>
      <c r="R253" s="21">
        <v>0</v>
      </c>
      <c r="S253" s="21">
        <v>0</v>
      </c>
    </row>
    <row r="254" spans="1:19" x14ac:dyDescent="0.2">
      <c r="A254" s="13">
        <f t="shared" si="56"/>
        <v>254</v>
      </c>
      <c r="B254" s="3" t="s">
        <v>122</v>
      </c>
      <c r="C254" s="3"/>
      <c r="D254" s="43"/>
      <c r="E254" s="44"/>
      <c r="F254" s="45"/>
    </row>
    <row r="255" spans="1:19" x14ac:dyDescent="0.2">
      <c r="A255" s="13">
        <f t="shared" si="56"/>
        <v>255</v>
      </c>
      <c r="B255" s="3" t="s">
        <v>123</v>
      </c>
      <c r="C255" s="3"/>
      <c r="D255" s="43"/>
      <c r="E255" s="44" t="str">
        <f>E1024</f>
        <v>DA252</v>
      </c>
      <c r="F255" s="45"/>
      <c r="G255" s="21">
        <f>IF($E$1149=1,($L255),IF($E$1149=2,($M255),IF($E$1149=3,($N255),IF($E$1149=4,($O255),IF($E$1149=5,($P255),IF($E$1149=6,($Q255),IF($E$1149=7,($R255),IF($E$1149=8,($S255),0))))))))</f>
        <v>-1539801</v>
      </c>
      <c r="H255" s="48">
        <f>IF($G$1024&lt;&gt;0,($G255)*(H$1024/$G$1024),0)</f>
        <v>-1527086.0853292714</v>
      </c>
      <c r="I255" s="48">
        <f>IF($G$1024&lt;&gt;0,($G255)*(I$1024/$G$1024),0)</f>
        <v>-12714.914670728576</v>
      </c>
      <c r="L255" s="21">
        <v>-1539801</v>
      </c>
      <c r="M255" s="21">
        <v>-1539801</v>
      </c>
      <c r="N255" s="21">
        <v>-1539801</v>
      </c>
      <c r="O255" s="21">
        <v>-26057585</v>
      </c>
      <c r="P255" s="21">
        <v>-1539801</v>
      </c>
      <c r="Q255" s="21">
        <v>-1539801</v>
      </c>
      <c r="R255" s="21">
        <v>-1539801</v>
      </c>
      <c r="S255" s="21">
        <v>-1539801</v>
      </c>
    </row>
    <row r="256" spans="1:19" x14ac:dyDescent="0.2">
      <c r="A256" s="13">
        <f t="shared" si="56"/>
        <v>256</v>
      </c>
      <c r="B256" s="3" t="s">
        <v>124</v>
      </c>
      <c r="C256" s="3"/>
      <c r="D256" s="43"/>
      <c r="E256" s="44" t="str">
        <f>E1062</f>
        <v>LABOR</v>
      </c>
      <c r="F256" s="45"/>
      <c r="G256" s="21">
        <f>IF($E$1149=1,($L256),IF($E$1149=2,($M256),IF($E$1149=3,($N256),IF($E$1149=4,($O256),IF($E$1149=5,($P256),IF($E$1149=6,($Q256),IF($E$1149=7,($R256),IF($E$1149=8,($S256),0))))))))</f>
        <v>-15317916</v>
      </c>
      <c r="H256" s="48">
        <f>IF($G$1062&lt;&gt;0,($G256)*(H$1062/$G$1062),0)</f>
        <v>-14647759.382113514</v>
      </c>
      <c r="I256" s="48">
        <f>IF($G$1062&lt;&gt;0,($G256)*(I$1062/$G$1062),0)</f>
        <v>-670156.61788648483</v>
      </c>
      <c r="L256" s="21">
        <v>-19284158</v>
      </c>
      <c r="M256" s="21">
        <v>-15317916</v>
      </c>
      <c r="N256" s="21">
        <v>-15317916</v>
      </c>
      <c r="O256" s="21">
        <v>-15317916</v>
      </c>
      <c r="P256" s="21">
        <v>-19284158</v>
      </c>
      <c r="Q256" s="21">
        <v>-15317916</v>
      </c>
      <c r="R256" s="21">
        <v>-15317916</v>
      </c>
      <c r="S256" s="21">
        <v>-15317916</v>
      </c>
    </row>
    <row r="257" spans="1:19" x14ac:dyDescent="0.2">
      <c r="A257" s="13">
        <f t="shared" si="56"/>
        <v>257</v>
      </c>
      <c r="B257" s="3"/>
      <c r="C257" s="3" t="s">
        <v>125</v>
      </c>
      <c r="D257" s="43"/>
      <c r="E257" s="44"/>
      <c r="F257" s="45"/>
      <c r="G257" s="46">
        <f>SUM(G255:G256)</f>
        <v>-16857717</v>
      </c>
      <c r="H257" s="46">
        <f t="shared" ref="H257:I257" si="79">SUM(H255:H256)</f>
        <v>-16174845.467442786</v>
      </c>
      <c r="I257" s="46">
        <f t="shared" si="79"/>
        <v>-682871.53255721345</v>
      </c>
      <c r="J257" s="20">
        <f>IF($E$1149=1,($G257),IF($E$1149=2,($G257),IF($E$1149=3,0,IF($E$1149=4,($H257),IF($E$1149=5,($I257),0)))))</f>
        <v>0</v>
      </c>
      <c r="L257" s="21">
        <v>-20823959</v>
      </c>
      <c r="M257" s="21">
        <v>-16857717</v>
      </c>
      <c r="N257" s="21">
        <v>-16857717</v>
      </c>
      <c r="O257" s="21">
        <v>-41375501</v>
      </c>
      <c r="P257" s="21">
        <v>-20823959</v>
      </c>
      <c r="Q257" s="21">
        <v>-16857717</v>
      </c>
      <c r="R257" s="21">
        <v>-16857717</v>
      </c>
      <c r="S257" s="21">
        <v>-16857717</v>
      </c>
    </row>
    <row r="258" spans="1:19" x14ac:dyDescent="0.2">
      <c r="A258" s="13">
        <f t="shared" si="56"/>
        <v>258</v>
      </c>
      <c r="B258" s="4" t="s">
        <v>126</v>
      </c>
      <c r="C258" s="4"/>
      <c r="D258" s="43" t="s">
        <v>5</v>
      </c>
      <c r="E258" s="44" t="str">
        <f>(E$1059)</f>
        <v>P101P</v>
      </c>
      <c r="F258" s="45"/>
      <c r="G258" s="21">
        <f>IF($E$1149=1,($L258),IF($E$1149=2,($M258),IF($E$1149=3,($N258),IF($E$1149=4,($O258),IF($E$1149=5,($P258),IF($E$1149=6,($Q258),IF($E$1149=7,($R258),IF($E$1149=8,($S258),0))))))))</f>
        <v>0</v>
      </c>
      <c r="H258" s="48">
        <f t="shared" ref="H258:I260" si="80">IF($G$1059&lt;&gt;0,($G258)*(H$1059/$G$1059),0)</f>
        <v>0</v>
      </c>
      <c r="I258" s="48">
        <f t="shared" si="80"/>
        <v>0</v>
      </c>
      <c r="J258" s="20">
        <f>IF($E$1149=1,($G258),IF($E$1149=2,($G258),IF($E$1149=3,0,IF($E$1149=4,($H258),IF($E$1149=5,($I258),0)))))</f>
        <v>0</v>
      </c>
      <c r="L258" s="21">
        <v>0</v>
      </c>
      <c r="M258" s="21">
        <v>0</v>
      </c>
      <c r="N258" s="21">
        <v>0</v>
      </c>
      <c r="O258" s="21">
        <v>0</v>
      </c>
      <c r="P258" s="21">
        <v>0</v>
      </c>
      <c r="Q258" s="21">
        <v>0</v>
      </c>
      <c r="R258" s="21">
        <v>0</v>
      </c>
      <c r="S258" s="21">
        <v>0</v>
      </c>
    </row>
    <row r="259" spans="1:19" x14ac:dyDescent="0.2">
      <c r="A259" s="13">
        <f t="shared" ref="A259:A322" si="81">A258+1</f>
        <v>259</v>
      </c>
      <c r="B259" s="4" t="s">
        <v>127</v>
      </c>
      <c r="C259" s="4"/>
      <c r="D259" s="43" t="s">
        <v>5</v>
      </c>
      <c r="E259" s="44" t="str">
        <f>(E$1059)</f>
        <v>P101P</v>
      </c>
      <c r="F259" s="45"/>
      <c r="G259" s="21">
        <f>IF($E$1149=1,($L259),IF($E$1149=2,($M259),IF($E$1149=3,($N259),IF($E$1149=4,($O259),IF($E$1149=5,($P259),IF($E$1149=6,($Q259),IF($E$1149=7,($R259),IF($E$1149=8,($S259),0))))))))</f>
        <v>433586439</v>
      </c>
      <c r="H259" s="48">
        <f t="shared" si="80"/>
        <v>415905229.36389285</v>
      </c>
      <c r="I259" s="48">
        <f t="shared" si="80"/>
        <v>17681209.636107162</v>
      </c>
      <c r="J259" s="20">
        <f>IF($E$1149=1,($G259),IF($E$1149=2,($G259),IF($E$1149=3,0,IF($E$1149=4,($H259),IF($E$1149=5,($I259),0)))))</f>
        <v>0</v>
      </c>
      <c r="L259" s="21">
        <v>442979210</v>
      </c>
      <c r="M259" s="21">
        <v>442979210</v>
      </c>
      <c r="N259" s="21">
        <v>442979210</v>
      </c>
      <c r="O259" s="21">
        <v>254746787</v>
      </c>
      <c r="P259" s="21">
        <v>442979210</v>
      </c>
      <c r="Q259" s="21">
        <v>442979210</v>
      </c>
      <c r="R259" s="21">
        <v>433586439</v>
      </c>
      <c r="S259" s="21">
        <v>442979210</v>
      </c>
    </row>
    <row r="260" spans="1:19" x14ac:dyDescent="0.2">
      <c r="A260" s="13">
        <f t="shared" si="81"/>
        <v>260</v>
      </c>
      <c r="B260" s="4" t="s">
        <v>128</v>
      </c>
      <c r="C260" s="4"/>
      <c r="D260" s="43"/>
      <c r="E260" s="44" t="str">
        <f>(E$1059)</f>
        <v>P101P</v>
      </c>
      <c r="F260" s="45"/>
      <c r="G260" s="21">
        <f>IF($E$1149=1,($L260),IF($E$1149=2,($M260),IF($E$1149=3,($N260),IF($E$1149=4,($O260),IF($E$1149=5,($P260),IF($E$1149=6,($Q260),IF($E$1149=7,($R260),IF($E$1149=8,($S260),0))))))))</f>
        <v>53668073</v>
      </c>
      <c r="H260" s="48">
        <f t="shared" si="80"/>
        <v>51479544.106736109</v>
      </c>
      <c r="I260" s="48">
        <f t="shared" si="80"/>
        <v>2188528.8932638937</v>
      </c>
      <c r="J260" s="20">
        <f>IF($E$1149=1,($G260),IF($E$1149=2,($G260),IF($E$1149=3,0,IF($E$1149=4,($H260),IF($E$1149=5,($I260),0)))))</f>
        <v>0</v>
      </c>
      <c r="L260" s="21">
        <v>53668073</v>
      </c>
      <c r="M260" s="21">
        <v>53668073</v>
      </c>
      <c r="N260" s="21">
        <v>53668073</v>
      </c>
      <c r="O260" s="21">
        <v>4560255</v>
      </c>
      <c r="P260" s="21">
        <v>53668073</v>
      </c>
      <c r="Q260" s="21">
        <v>53668073</v>
      </c>
      <c r="R260" s="21">
        <v>53668073</v>
      </c>
      <c r="S260" s="21">
        <v>53668073</v>
      </c>
    </row>
    <row r="261" spans="1:19" x14ac:dyDescent="0.2">
      <c r="A261" s="13">
        <f t="shared" si="81"/>
        <v>261</v>
      </c>
      <c r="B261" s="4" t="s">
        <v>5</v>
      </c>
      <c r="C261" s="4" t="s">
        <v>129</v>
      </c>
      <c r="D261" s="43" t="s">
        <v>5</v>
      </c>
      <c r="E261" s="44" t="s">
        <v>5</v>
      </c>
      <c r="F261" s="45"/>
      <c r="G261" s="46">
        <f>SUM(G257:G260)</f>
        <v>470396795</v>
      </c>
      <c r="H261" s="46">
        <f t="shared" ref="H261:I261" si="82">SUM(H257:H260)</f>
        <v>451209928.00318617</v>
      </c>
      <c r="I261" s="46">
        <f t="shared" si="82"/>
        <v>19186866.996813845</v>
      </c>
      <c r="J261" s="20">
        <f>IF($E$1149=1,($G261),IF($E$1149=2,($G261),IF($E$1149=3,0,IF($E$1149=4,($H261),IF($E$1149=5,($I261),0)))))</f>
        <v>0</v>
      </c>
      <c r="L261" s="21">
        <v>0</v>
      </c>
      <c r="M261" s="21">
        <v>0</v>
      </c>
      <c r="N261" s="21">
        <v>0</v>
      </c>
      <c r="O261" s="21">
        <v>0</v>
      </c>
      <c r="P261" s="21">
        <v>0</v>
      </c>
      <c r="Q261" s="21">
        <v>0</v>
      </c>
      <c r="R261" s="21">
        <v>0</v>
      </c>
      <c r="S261" s="21">
        <v>0</v>
      </c>
    </row>
    <row r="262" spans="1:19" x14ac:dyDescent="0.2">
      <c r="A262" s="13">
        <f t="shared" si="81"/>
        <v>262</v>
      </c>
      <c r="B262" s="4" t="s">
        <v>39</v>
      </c>
      <c r="C262" s="4" t="s">
        <v>39</v>
      </c>
      <c r="D262" s="43" t="s">
        <v>5</v>
      </c>
      <c r="E262" s="44" t="s">
        <v>5</v>
      </c>
      <c r="F262" s="45"/>
      <c r="L262" s="21">
        <v>0</v>
      </c>
      <c r="M262" s="21">
        <v>0</v>
      </c>
      <c r="N262" s="21">
        <v>0</v>
      </c>
      <c r="O262" s="21">
        <v>0</v>
      </c>
      <c r="P262" s="21">
        <v>0</v>
      </c>
      <c r="Q262" s="21">
        <v>0</v>
      </c>
      <c r="R262" s="21">
        <v>0</v>
      </c>
      <c r="S262" s="21">
        <v>0</v>
      </c>
    </row>
    <row r="263" spans="1:19" x14ac:dyDescent="0.2">
      <c r="A263" s="13">
        <f t="shared" si="81"/>
        <v>263</v>
      </c>
      <c r="B263" s="4" t="s">
        <v>115</v>
      </c>
      <c r="C263" s="4"/>
      <c r="D263" s="43"/>
      <c r="E263" s="44"/>
      <c r="F263" s="45"/>
      <c r="G263" s="46">
        <f>G246-G251-G261</f>
        <v>3394324157.2372308</v>
      </c>
      <c r="H263" s="46">
        <f t="shared" ref="H263:I263" si="83">H246-H251-H261</f>
        <v>3257794064.9741235</v>
      </c>
      <c r="I263" s="46">
        <f t="shared" si="83"/>
        <v>136530092.26310724</v>
      </c>
      <c r="J263" s="20">
        <f>IF($E$1149=1,($G263),IF($E$1149=2,($G263),IF($E$1149=3,0,IF($E$1149=4,($H263),IF($E$1149=5,($I263),0)))))</f>
        <v>0</v>
      </c>
      <c r="L263" s="21">
        <v>0</v>
      </c>
      <c r="M263" s="21">
        <v>0</v>
      </c>
      <c r="N263" s="21">
        <v>0</v>
      </c>
      <c r="O263" s="21">
        <v>0</v>
      </c>
      <c r="P263" s="21">
        <v>0</v>
      </c>
      <c r="Q263" s="21">
        <v>0</v>
      </c>
      <c r="R263" s="21">
        <v>0</v>
      </c>
      <c r="S263" s="21">
        <v>0</v>
      </c>
    </row>
    <row r="264" spans="1:19" x14ac:dyDescent="0.2">
      <c r="A264" s="13">
        <f t="shared" si="81"/>
        <v>264</v>
      </c>
      <c r="B264" s="4" t="s">
        <v>130</v>
      </c>
      <c r="C264" s="4"/>
      <c r="D264" s="43"/>
      <c r="E264" s="44"/>
      <c r="F264" s="45"/>
      <c r="L264" s="21">
        <v>0</v>
      </c>
      <c r="M264" s="21">
        <v>0</v>
      </c>
      <c r="N264" s="21">
        <v>0</v>
      </c>
      <c r="O264" s="21">
        <v>0</v>
      </c>
      <c r="P264" s="21">
        <v>0</v>
      </c>
      <c r="Q264" s="21">
        <v>0</v>
      </c>
      <c r="R264" s="21">
        <v>0</v>
      </c>
      <c r="S264" s="21">
        <v>0</v>
      </c>
    </row>
    <row r="265" spans="1:19" x14ac:dyDescent="0.2">
      <c r="A265" s="13">
        <f t="shared" si="81"/>
        <v>265</v>
      </c>
      <c r="B265" s="4" t="s">
        <v>131</v>
      </c>
      <c r="C265" s="4"/>
      <c r="D265" s="43" t="s">
        <v>5</v>
      </c>
      <c r="E265" s="44" t="s">
        <v>5</v>
      </c>
      <c r="F265" s="45"/>
      <c r="L265" s="21">
        <v>0</v>
      </c>
      <c r="M265" s="21">
        <v>0</v>
      </c>
      <c r="N265" s="21">
        <v>0</v>
      </c>
      <c r="O265" s="21">
        <v>0</v>
      </c>
      <c r="P265" s="21">
        <v>0</v>
      </c>
      <c r="Q265" s="21">
        <v>0</v>
      </c>
      <c r="R265" s="21">
        <v>0</v>
      </c>
      <c r="S265" s="21">
        <v>0</v>
      </c>
    </row>
    <row r="266" spans="1:19" x14ac:dyDescent="0.2">
      <c r="A266" s="13">
        <f t="shared" si="81"/>
        <v>266</v>
      </c>
      <c r="B266" s="4" t="s">
        <v>132</v>
      </c>
      <c r="C266" s="4"/>
      <c r="D266" s="43" t="s">
        <v>5</v>
      </c>
      <c r="E266" s="44" t="str">
        <f>(E$1010)</f>
        <v>E10</v>
      </c>
      <c r="F266" s="45"/>
      <c r="G266" s="21">
        <f>IF($E$1149=1,($L266),IF($E$1149=2,($M266),IF($E$1149=3,($N266),IF($E$1149=4,($O266),IF($E$1149=5,($P266),IF($E$1149=6,($Q266),IF($E$1149=7,($R266),IF($E$1149=8,($S266),0))))))))</f>
        <v>29293629</v>
      </c>
      <c r="H266" s="48">
        <f>IF($G$1010&lt;&gt;0,($G266)*(H$1010/$G$1010),0)</f>
        <v>27999358.67653789</v>
      </c>
      <c r="I266" s="48">
        <f>IF($G$1010&lt;&gt;0,($G266)*(I$1010/$G$1010),0)</f>
        <v>1294270.3234621095</v>
      </c>
      <c r="J266" s="20">
        <f>IF($E$1149=1,($G266),IF($E$1149=2,($G266),IF($E$1149=3,0,IF($E$1149=4,($H266),IF($E$1149=5,($I266),0)))))</f>
        <v>0</v>
      </c>
      <c r="L266" s="21">
        <v>30126744</v>
      </c>
      <c r="M266" s="21">
        <v>29293629</v>
      </c>
      <c r="N266" s="21">
        <v>29293629</v>
      </c>
      <c r="O266" s="21">
        <v>29293629</v>
      </c>
      <c r="P266" s="21">
        <v>30126744</v>
      </c>
      <c r="Q266" s="21">
        <v>29293629</v>
      </c>
      <c r="R266" s="21">
        <v>29293629</v>
      </c>
      <c r="S266" s="21">
        <v>29293629</v>
      </c>
    </row>
    <row r="267" spans="1:19" x14ac:dyDescent="0.2">
      <c r="A267" s="13">
        <f t="shared" si="81"/>
        <v>267</v>
      </c>
      <c r="B267" s="4" t="s">
        <v>133</v>
      </c>
      <c r="C267" s="4"/>
      <c r="D267" s="43" t="s">
        <v>5</v>
      </c>
      <c r="E267" s="44" t="s">
        <v>5</v>
      </c>
      <c r="F267" s="45"/>
      <c r="L267" s="21">
        <v>0</v>
      </c>
      <c r="M267" s="21">
        <v>0</v>
      </c>
      <c r="N267" s="21">
        <v>0</v>
      </c>
      <c r="O267" s="21">
        <v>0</v>
      </c>
      <c r="P267" s="21">
        <v>0</v>
      </c>
      <c r="Q267" s="21">
        <v>0</v>
      </c>
      <c r="R267" s="21">
        <v>0</v>
      </c>
      <c r="S267" s="21">
        <v>0</v>
      </c>
    </row>
    <row r="268" spans="1:19" x14ac:dyDescent="0.2">
      <c r="A268" s="13">
        <f t="shared" si="81"/>
        <v>268</v>
      </c>
      <c r="B268" s="4" t="s">
        <v>134</v>
      </c>
      <c r="C268" s="4"/>
      <c r="D268" s="43" t="s">
        <v>508</v>
      </c>
      <c r="E268" s="44">
        <f>A105</f>
        <v>105</v>
      </c>
      <c r="F268" s="45"/>
      <c r="G268" s="21">
        <f>IF($E$1149=1,($L268),IF($E$1149=2,($M268),IF($E$1149=3,($N268),IF($E$1149=4,($O268),IF($E$1149=5,($P268),IF($E$1149=6,($Q268),IF($E$1149=7,($R268),IF($E$1149=8,($S268),0))))))))</f>
        <v>17450414</v>
      </c>
      <c r="H268" s="48">
        <f t="shared" ref="H268:I268" si="84">IF($G$105&lt;&gt;0,($G268)*(H$105/$G$105),0)</f>
        <v>16754944.91454871</v>
      </c>
      <c r="I268" s="48">
        <f t="shared" si="84"/>
        <v>695469.08545129211</v>
      </c>
      <c r="J268" s="20">
        <f>IF($E$1149=1,($G268),IF($E$1149=2,($G268),IF($E$1149=3,0,IF($E$1149=4,($H268),IF($E$1149=5,($I268),0)))))</f>
        <v>0</v>
      </c>
      <c r="L268" s="21">
        <v>17450414</v>
      </c>
      <c r="M268" s="21">
        <v>17450414</v>
      </c>
      <c r="N268" s="21">
        <v>17450414</v>
      </c>
      <c r="O268" s="21">
        <v>17450414</v>
      </c>
      <c r="P268" s="21">
        <v>17450414</v>
      </c>
      <c r="Q268" s="21">
        <v>17450414</v>
      </c>
      <c r="R268" s="21">
        <v>17450414</v>
      </c>
      <c r="S268" s="21">
        <v>17450414</v>
      </c>
    </row>
    <row r="269" spans="1:19" x14ac:dyDescent="0.2">
      <c r="A269" s="13">
        <f t="shared" si="81"/>
        <v>269</v>
      </c>
      <c r="B269" s="4" t="s">
        <v>135</v>
      </c>
      <c r="C269" s="4"/>
      <c r="D269" s="43" t="s">
        <v>508</v>
      </c>
      <c r="E269" s="44">
        <f>A143</f>
        <v>143</v>
      </c>
      <c r="F269" s="45"/>
      <c r="G269" s="21">
        <f>IF($E$1149=1,($L269),IF($E$1149=2,($M269),IF($E$1149=3,($N269),IF($E$1149=4,($O269),IF($E$1149=5,($P269),IF($E$1149=6,($Q269),IF($E$1149=7,($R269),IF($E$1149=8,($S269),0))))))))</f>
        <v>12917545</v>
      </c>
      <c r="H269" s="48">
        <f t="shared" ref="H269:I269" si="85">IF($G$144&lt;&gt;0,($G269)*(H$144/$G$144),0)</f>
        <v>12401825.374614771</v>
      </c>
      <c r="I269" s="48">
        <f t="shared" si="85"/>
        <v>515719.62538523087</v>
      </c>
      <c r="J269" s="20">
        <f>IF($E$1149=1,($G269),IF($E$1149=2,($G269),IF($E$1149=3,0,IF($E$1149=4,($H269),IF($E$1149=5,($I269),0)))))</f>
        <v>0</v>
      </c>
      <c r="L269" s="21">
        <v>12917545</v>
      </c>
      <c r="M269" s="21">
        <v>12917545</v>
      </c>
      <c r="N269" s="21">
        <v>12917545</v>
      </c>
      <c r="O269" s="21">
        <v>12917545</v>
      </c>
      <c r="P269" s="21">
        <v>12917545</v>
      </c>
      <c r="Q269" s="21">
        <v>12917545</v>
      </c>
      <c r="R269" s="21">
        <v>12917545</v>
      </c>
      <c r="S269" s="21">
        <v>12917545</v>
      </c>
    </row>
    <row r="270" spans="1:19" x14ac:dyDescent="0.2">
      <c r="A270" s="13">
        <f t="shared" si="81"/>
        <v>270</v>
      </c>
      <c r="B270" s="4" t="s">
        <v>136</v>
      </c>
      <c r="C270" s="4"/>
      <c r="D270" s="43" t="s">
        <v>508</v>
      </c>
      <c r="E270" s="44">
        <f>A162</f>
        <v>162</v>
      </c>
      <c r="F270" s="45"/>
      <c r="G270" s="21">
        <f>IF($E$1149=1,($L270),IF($E$1149=2,($M270),IF($E$1149=3,($N270),IF($E$1149=4,($O270),IF($E$1149=5,($P270),IF($E$1149=6,($Q270),IF($E$1149=7,($R270),IF($E$1149=8,($S270),0))))))))</f>
        <v>34845341</v>
      </c>
      <c r="H270" s="48">
        <f t="shared" ref="H270:I270" si="86">IF($G$162&lt;&gt;0,($G270)*(H$162/$G$162),0)</f>
        <v>33368387.511126239</v>
      </c>
      <c r="I270" s="48">
        <f t="shared" si="86"/>
        <v>1476953.4888737665</v>
      </c>
      <c r="J270" s="20">
        <f>IF($E$1149=1,($G270),IF($E$1149=2,($G270),IF($E$1149=3,0,IF($E$1149=4,($H270),IF($E$1149=5,($I270),0)))))</f>
        <v>0</v>
      </c>
      <c r="L270" s="21">
        <v>34845341</v>
      </c>
      <c r="M270" s="21">
        <v>34845341</v>
      </c>
      <c r="N270" s="21">
        <v>34845341</v>
      </c>
      <c r="O270" s="21">
        <v>34845341</v>
      </c>
      <c r="P270" s="21">
        <v>34845341</v>
      </c>
      <c r="Q270" s="21">
        <v>34845341</v>
      </c>
      <c r="R270" s="21">
        <v>34845341</v>
      </c>
      <c r="S270" s="21">
        <v>34845341</v>
      </c>
    </row>
    <row r="271" spans="1:19" x14ac:dyDescent="0.2">
      <c r="A271" s="13">
        <f t="shared" si="81"/>
        <v>271</v>
      </c>
      <c r="B271" s="4" t="s">
        <v>137</v>
      </c>
      <c r="C271" s="4"/>
      <c r="D271" s="43" t="s">
        <v>508</v>
      </c>
      <c r="E271" s="44">
        <f>A178</f>
        <v>178</v>
      </c>
      <c r="F271" s="45"/>
      <c r="G271" s="21">
        <f>IF($E$1149=1,($L271),IF($E$1149=2,($M271),IF($E$1149=3,($N271),IF($E$1149=4,($O271),IF($E$1149=5,($P271),IF($E$1149=6,($Q271),IF($E$1149=7,($R271),IF($E$1149=8,($S271),0))))))))</f>
        <v>5229229</v>
      </c>
      <c r="H271" s="48">
        <f t="shared" ref="H271:I271" si="87">IF($G$178&lt;&gt;0,($G271)*(H$178/$G$178),0)</f>
        <v>5016015.7308679149</v>
      </c>
      <c r="I271" s="48">
        <f t="shared" si="87"/>
        <v>213213.26913208596</v>
      </c>
      <c r="J271" s="20">
        <f>IF($E$1149=1,($G271),IF($E$1149=2,($G271),IF($E$1149=3,0,IF($E$1149=4,($H271),IF($E$1149=5,($I271),0)))))</f>
        <v>0</v>
      </c>
      <c r="L271" s="21">
        <v>5229229</v>
      </c>
      <c r="M271" s="21">
        <v>5229229</v>
      </c>
      <c r="N271" s="21">
        <v>5229229</v>
      </c>
      <c r="O271" s="21">
        <v>5229229</v>
      </c>
      <c r="P271" s="21">
        <v>5229229</v>
      </c>
      <c r="Q271" s="21">
        <v>5229229</v>
      </c>
      <c r="R271" s="21">
        <v>5229229</v>
      </c>
      <c r="S271" s="21">
        <v>5229229</v>
      </c>
    </row>
    <row r="272" spans="1:19" x14ac:dyDescent="0.2">
      <c r="A272" s="13">
        <f t="shared" si="81"/>
        <v>272</v>
      </c>
      <c r="B272" s="4" t="s">
        <v>5</v>
      </c>
      <c r="C272" s="4" t="s">
        <v>138</v>
      </c>
      <c r="D272" s="43" t="s">
        <v>5</v>
      </c>
      <c r="E272" s="44" t="s">
        <v>5</v>
      </c>
      <c r="F272" s="45"/>
      <c r="G272" s="46">
        <f t="shared" ref="G272:I272" si="88">SUM(G268:G271)</f>
        <v>70442529</v>
      </c>
      <c r="H272" s="46">
        <f t="shared" si="88"/>
        <v>67541173.531157643</v>
      </c>
      <c r="I272" s="46">
        <f t="shared" si="88"/>
        <v>2901355.4688423756</v>
      </c>
      <c r="J272" s="20">
        <f>IF($E$1149=1,($G272),IF($E$1149=2,($G272),IF($E$1149=3,0,IF($E$1149=4,($H272),IF($E$1149=5,($I272),0)))))</f>
        <v>0</v>
      </c>
      <c r="L272" s="21">
        <v>0</v>
      </c>
      <c r="M272" s="21">
        <v>0</v>
      </c>
      <c r="N272" s="21">
        <v>0</v>
      </c>
      <c r="O272" s="21">
        <v>0</v>
      </c>
      <c r="P272" s="21">
        <v>0</v>
      </c>
      <c r="Q272" s="21">
        <v>0</v>
      </c>
      <c r="R272" s="21">
        <v>0</v>
      </c>
      <c r="S272" s="21">
        <v>0</v>
      </c>
    </row>
    <row r="273" spans="1:19" x14ac:dyDescent="0.2">
      <c r="A273" s="13">
        <f t="shared" si="81"/>
        <v>273</v>
      </c>
      <c r="B273" s="4" t="s">
        <v>139</v>
      </c>
      <c r="C273" s="4"/>
      <c r="D273" s="43"/>
      <c r="E273" s="44"/>
      <c r="F273" s="45"/>
      <c r="L273" s="21">
        <v>0</v>
      </c>
      <c r="M273" s="21">
        <v>0</v>
      </c>
      <c r="N273" s="21">
        <v>0</v>
      </c>
      <c r="O273" s="21">
        <v>0</v>
      </c>
      <c r="P273" s="21">
        <v>0</v>
      </c>
      <c r="Q273" s="21">
        <v>0</v>
      </c>
      <c r="R273" s="21">
        <v>0</v>
      </c>
      <c r="S273" s="21">
        <v>0</v>
      </c>
    </row>
    <row r="274" spans="1:19" x14ac:dyDescent="0.2">
      <c r="A274" s="13">
        <f t="shared" si="81"/>
        <v>274</v>
      </c>
      <c r="B274" s="4" t="s">
        <v>140</v>
      </c>
      <c r="C274" s="4"/>
      <c r="D274" s="43" t="s">
        <v>508</v>
      </c>
      <c r="E274" s="44">
        <f>A704</f>
        <v>704</v>
      </c>
      <c r="F274" s="45"/>
      <c r="G274" s="21">
        <f t="shared" ref="G274:G279" si="89">IF($E$1149=1,($L274),IF($E$1149=2,($M274),IF($E$1149=3,($N274),IF($E$1149=4,($O274),IF($E$1149=5,($P274),IF($E$1149=6,($Q274),IF($E$1149=7,($R274),IF($E$1149=8,($S274),0))))))))</f>
        <v>0</v>
      </c>
      <c r="H274" s="48">
        <f>IF($G$704&lt;&gt;0,$G274*H$704/$G$704,0)</f>
        <v>0</v>
      </c>
      <c r="I274" s="48">
        <f>IF($G$704&lt;&gt;0,$G274*I$704/$G$704,0)</f>
        <v>0</v>
      </c>
      <c r="J274" s="20">
        <f t="shared" ref="J274:J281" si="90">IF($E$1149=1,($G274),IF($E$1149=2,($G274),IF($E$1149=3,0,IF($E$1149=4,($H274),IF($E$1149=5,($I274),0)))))</f>
        <v>0</v>
      </c>
      <c r="L274" s="21">
        <v>2754089.9900000007</v>
      </c>
      <c r="M274" s="21">
        <v>2754089.9900000007</v>
      </c>
      <c r="N274" s="21">
        <v>2754089.9900000007</v>
      </c>
      <c r="O274" s="21">
        <v>0</v>
      </c>
      <c r="P274" s="21">
        <v>0</v>
      </c>
      <c r="Q274" s="21">
        <v>0</v>
      </c>
      <c r="R274" s="21">
        <v>0</v>
      </c>
      <c r="S274" s="21">
        <v>2754089.9900000007</v>
      </c>
    </row>
    <row r="275" spans="1:19" x14ac:dyDescent="0.2">
      <c r="A275" s="13">
        <f t="shared" si="81"/>
        <v>275</v>
      </c>
      <c r="B275" s="4" t="s">
        <v>141</v>
      </c>
      <c r="C275" s="4"/>
      <c r="D275" s="43" t="s">
        <v>5</v>
      </c>
      <c r="E275" s="44" t="str">
        <f>(E$1004)</f>
        <v>D10</v>
      </c>
      <c r="F275" s="45"/>
      <c r="G275" s="21">
        <f t="shared" si="89"/>
        <v>0</v>
      </c>
      <c r="H275" s="48">
        <f>IF($G$1004&lt;&gt;0,($G275)*(H$1004/$G$1004),0)</f>
        <v>0</v>
      </c>
      <c r="I275" s="48">
        <f>IF($G$1004&lt;&gt;0,($G275)*(I$1004/$G$1004),0)</f>
        <v>0</v>
      </c>
      <c r="J275" s="20">
        <f t="shared" si="90"/>
        <v>0</v>
      </c>
      <c r="L275" s="21">
        <v>2047783.4299999897</v>
      </c>
      <c r="M275" s="21">
        <v>2047783.4299999897</v>
      </c>
      <c r="N275" s="21">
        <v>2047783.4299999897</v>
      </c>
      <c r="O275" s="21">
        <v>0</v>
      </c>
      <c r="P275" s="21">
        <v>0</v>
      </c>
      <c r="Q275" s="21">
        <v>0</v>
      </c>
      <c r="R275" s="21">
        <v>0</v>
      </c>
      <c r="S275" s="21">
        <v>2047783.4299999897</v>
      </c>
    </row>
    <row r="276" spans="1:19" x14ac:dyDescent="0.2">
      <c r="A276" s="13">
        <f t="shared" si="81"/>
        <v>276</v>
      </c>
      <c r="B276" s="4" t="s">
        <v>142</v>
      </c>
      <c r="C276" s="4"/>
      <c r="D276" s="43" t="s">
        <v>508</v>
      </c>
      <c r="E276" s="44">
        <f>A105</f>
        <v>105</v>
      </c>
      <c r="F276" s="45"/>
      <c r="G276" s="21">
        <f t="shared" si="89"/>
        <v>0</v>
      </c>
      <c r="H276" s="48">
        <f t="shared" ref="H276:I276" si="91">IF($G$105&lt;&gt;0,($G276)*(H$105/$G$105),0)</f>
        <v>0</v>
      </c>
      <c r="I276" s="48">
        <f t="shared" si="91"/>
        <v>0</v>
      </c>
      <c r="J276" s="20">
        <f t="shared" si="90"/>
        <v>0</v>
      </c>
      <c r="L276" s="21">
        <v>8131740.7900000019</v>
      </c>
      <c r="M276" s="21">
        <v>8131740.7900000019</v>
      </c>
      <c r="N276" s="21">
        <v>8131740.7900000019</v>
      </c>
      <c r="O276" s="21">
        <v>0</v>
      </c>
      <c r="P276" s="21">
        <v>0</v>
      </c>
      <c r="Q276" s="21">
        <v>0</v>
      </c>
      <c r="R276" s="21">
        <v>0</v>
      </c>
      <c r="S276" s="21">
        <v>8131740.7900000019</v>
      </c>
    </row>
    <row r="277" spans="1:19" x14ac:dyDescent="0.2">
      <c r="A277" s="13">
        <f t="shared" si="81"/>
        <v>277</v>
      </c>
      <c r="B277" s="4" t="s">
        <v>143</v>
      </c>
      <c r="C277" s="4"/>
      <c r="D277" s="43" t="s">
        <v>508</v>
      </c>
      <c r="E277" s="44">
        <f>A998</f>
        <v>998</v>
      </c>
      <c r="F277" s="45"/>
      <c r="G277" s="21">
        <f t="shared" si="89"/>
        <v>0</v>
      </c>
      <c r="H277" s="48">
        <f>IF($G$998&lt;&gt;0,($G277)*(H$998/$G$998),0)</f>
        <v>0</v>
      </c>
      <c r="I277" s="48">
        <f>IF($G$998&lt;&gt;0,($G277)*(I$998/$G$998),0)</f>
        <v>0</v>
      </c>
      <c r="J277" s="20">
        <f t="shared" si="90"/>
        <v>0</v>
      </c>
      <c r="L277" s="21">
        <v>0</v>
      </c>
      <c r="M277" s="21">
        <v>0</v>
      </c>
      <c r="N277" s="21">
        <v>0</v>
      </c>
      <c r="O277" s="21">
        <v>0</v>
      </c>
      <c r="P277" s="21">
        <v>0</v>
      </c>
      <c r="Q277" s="21">
        <v>0</v>
      </c>
      <c r="R277" s="21">
        <v>0</v>
      </c>
      <c r="S277" s="21">
        <v>0</v>
      </c>
    </row>
    <row r="278" spans="1:19" x14ac:dyDescent="0.2">
      <c r="A278" s="13">
        <f t="shared" si="81"/>
        <v>278</v>
      </c>
      <c r="B278" s="4" t="s">
        <v>144</v>
      </c>
      <c r="C278" s="4"/>
      <c r="D278" s="43" t="s">
        <v>508</v>
      </c>
      <c r="E278" s="44">
        <f>A95</f>
        <v>95</v>
      </c>
      <c r="F278" s="45"/>
      <c r="G278" s="21">
        <f t="shared" si="89"/>
        <v>0</v>
      </c>
      <c r="H278" s="48">
        <f t="shared" ref="H278:I278" si="92">IF($G$95&lt;&gt;0,($G278)*(H$95/$G$95),0)</f>
        <v>0</v>
      </c>
      <c r="I278" s="48">
        <f t="shared" si="92"/>
        <v>0</v>
      </c>
      <c r="J278" s="20">
        <f t="shared" si="90"/>
        <v>0</v>
      </c>
      <c r="L278" s="21">
        <v>5168511.3600000031</v>
      </c>
      <c r="M278" s="21">
        <v>5168511.3600000031</v>
      </c>
      <c r="N278" s="21">
        <v>5168511.3600000031</v>
      </c>
      <c r="O278" s="21">
        <v>0</v>
      </c>
      <c r="P278" s="21">
        <v>0</v>
      </c>
      <c r="Q278" s="21">
        <v>0</v>
      </c>
      <c r="R278" s="21">
        <v>0</v>
      </c>
      <c r="S278" s="21">
        <v>5168511.3600000031</v>
      </c>
    </row>
    <row r="279" spans="1:19" x14ac:dyDescent="0.2">
      <c r="A279" s="13">
        <f t="shared" si="81"/>
        <v>279</v>
      </c>
      <c r="B279" s="4" t="s">
        <v>145</v>
      </c>
      <c r="C279" s="4"/>
      <c r="D279" s="43" t="s">
        <v>5</v>
      </c>
      <c r="E279" s="44" t="str">
        <f>(E$1059)</f>
        <v>P101P</v>
      </c>
      <c r="F279" s="45"/>
      <c r="G279" s="21">
        <f t="shared" si="89"/>
        <v>0</v>
      </c>
      <c r="H279" s="48">
        <f>IF($G$1059&lt;&gt;0,($G279)*(H$1059/$G$1059),0)</f>
        <v>0</v>
      </c>
      <c r="I279" s="48">
        <f>IF($G$1059&lt;&gt;0,($G279)*(I$1059/$G$1059),0)</f>
        <v>0</v>
      </c>
      <c r="J279" s="20">
        <f t="shared" si="90"/>
        <v>0</v>
      </c>
      <c r="L279" s="21">
        <v>6455466.0899999645</v>
      </c>
      <c r="M279" s="21">
        <v>6455466.0899999645</v>
      </c>
      <c r="N279" s="21">
        <v>6455466.0899999645</v>
      </c>
      <c r="O279" s="21">
        <v>0</v>
      </c>
      <c r="P279" s="21">
        <v>0</v>
      </c>
      <c r="Q279" s="21">
        <v>0</v>
      </c>
      <c r="R279" s="21">
        <v>0</v>
      </c>
      <c r="S279" s="21">
        <v>6455466.0899999645</v>
      </c>
    </row>
    <row r="280" spans="1:19" x14ac:dyDescent="0.2">
      <c r="A280" s="13">
        <f t="shared" si="81"/>
        <v>280</v>
      </c>
      <c r="B280" s="4" t="s">
        <v>5</v>
      </c>
      <c r="C280" s="4" t="s">
        <v>146</v>
      </c>
      <c r="D280" s="43" t="s">
        <v>5</v>
      </c>
      <c r="E280" s="44" t="s">
        <v>5</v>
      </c>
      <c r="F280" s="45"/>
      <c r="G280" s="46">
        <f>SUM(G274:G279)</f>
        <v>0</v>
      </c>
      <c r="H280" s="46">
        <f t="shared" ref="H280:I280" si="93">SUM(H274:H279)</f>
        <v>0</v>
      </c>
      <c r="I280" s="46">
        <f t="shared" si="93"/>
        <v>0</v>
      </c>
      <c r="J280" s="20">
        <f t="shared" si="90"/>
        <v>0</v>
      </c>
      <c r="L280" s="21">
        <v>0</v>
      </c>
      <c r="M280" s="21">
        <v>0</v>
      </c>
      <c r="N280" s="21">
        <v>0</v>
      </c>
      <c r="O280" s="21">
        <v>0</v>
      </c>
      <c r="P280" s="21">
        <v>0</v>
      </c>
      <c r="Q280" s="21">
        <v>0</v>
      </c>
      <c r="R280" s="21">
        <v>0</v>
      </c>
      <c r="S280" s="21">
        <v>0</v>
      </c>
    </row>
    <row r="281" spans="1:19" x14ac:dyDescent="0.2">
      <c r="A281" s="13">
        <f t="shared" si="81"/>
        <v>281</v>
      </c>
      <c r="B281" s="4" t="s">
        <v>5</v>
      </c>
      <c r="C281" s="4" t="s">
        <v>147</v>
      </c>
      <c r="D281" s="43" t="s">
        <v>508</v>
      </c>
      <c r="E281" s="44">
        <f>A621</f>
        <v>621</v>
      </c>
      <c r="F281" s="45"/>
      <c r="G281" s="21">
        <f>IF($E$1149=1,($L281),IF($E$1149=2,($M281),IF($E$1149=3,($N281),IF($E$1149=4,($O281),IF($E$1149=5,($P281),IF($E$1149=6,($Q281),IF($E$1149=7,($R281),IF($E$1149=8,($S281),0))))))))</f>
        <v>0</v>
      </c>
      <c r="H281" s="48">
        <f>IF($G$281&lt;&gt;0,($G281)*(H$621/$G$621),0)</f>
        <v>0</v>
      </c>
      <c r="I281" s="48">
        <f>IF($G$621&lt;&gt;0,($G281)*(I$621/$G$621),0)</f>
        <v>0</v>
      </c>
      <c r="J281" s="20">
        <f t="shared" si="90"/>
        <v>0</v>
      </c>
      <c r="L281" s="21">
        <v>0</v>
      </c>
      <c r="M281" s="21">
        <v>0</v>
      </c>
      <c r="N281" s="21">
        <v>0</v>
      </c>
      <c r="O281" s="21">
        <v>0</v>
      </c>
      <c r="P281" s="21">
        <v>0</v>
      </c>
      <c r="Q281" s="21">
        <v>0</v>
      </c>
      <c r="R281" s="21">
        <v>0</v>
      </c>
      <c r="S281" s="21">
        <v>0</v>
      </c>
    </row>
    <row r="282" spans="1:19" x14ac:dyDescent="0.2">
      <c r="A282" s="13">
        <f t="shared" si="81"/>
        <v>282</v>
      </c>
      <c r="B282" s="4" t="s">
        <v>5</v>
      </c>
      <c r="C282" s="4" t="s">
        <v>5</v>
      </c>
      <c r="D282" s="43" t="s">
        <v>5</v>
      </c>
      <c r="E282" s="44" t="s">
        <v>5</v>
      </c>
      <c r="F282" s="45"/>
      <c r="G282" s="42" t="str">
        <f>IF(ROUND(G281,0)=ROUND(SUM(H281:I281),0)," ","L 514 WORKING CAPITAL IS WRONG")</f>
        <v xml:space="preserve"> </v>
      </c>
      <c r="L282" s="21">
        <v>0</v>
      </c>
      <c r="M282" s="21">
        <v>0</v>
      </c>
      <c r="N282" s="21">
        <v>0</v>
      </c>
      <c r="O282" s="21">
        <v>0</v>
      </c>
      <c r="P282" s="21">
        <v>0</v>
      </c>
      <c r="Q282" s="21">
        <v>0</v>
      </c>
      <c r="R282" s="21">
        <v>0</v>
      </c>
      <c r="S282" s="21">
        <v>0</v>
      </c>
    </row>
    <row r="283" spans="1:19" x14ac:dyDescent="0.2">
      <c r="A283" s="13">
        <f t="shared" si="81"/>
        <v>283</v>
      </c>
      <c r="B283" s="4" t="s">
        <v>5</v>
      </c>
      <c r="C283" s="4" t="s">
        <v>148</v>
      </c>
      <c r="D283" s="43" t="s">
        <v>5</v>
      </c>
      <c r="E283" s="44" t="s">
        <v>5</v>
      </c>
      <c r="F283" s="45"/>
      <c r="G283" s="46">
        <f t="shared" ref="G283:I283" si="94">SUM(G266+G272+G280+G281)</f>
        <v>99736158</v>
      </c>
      <c r="H283" s="46">
        <f t="shared" si="94"/>
        <v>95540532.207695529</v>
      </c>
      <c r="I283" s="46">
        <f t="shared" si="94"/>
        <v>4195625.7923044851</v>
      </c>
      <c r="J283" s="20">
        <f>IF($E$1149=1,($G283),IF($E$1149=2,($G283),IF($E$1149=3,0,IF($E$1149=4,($H283),IF($E$1149=5,($I283),0)))))</f>
        <v>0</v>
      </c>
      <c r="L283" s="21">
        <v>0</v>
      </c>
      <c r="M283" s="21">
        <v>0</v>
      </c>
      <c r="N283" s="21">
        <v>0</v>
      </c>
      <c r="O283" s="21">
        <v>0</v>
      </c>
      <c r="P283" s="21">
        <v>0</v>
      </c>
      <c r="Q283" s="21">
        <v>0</v>
      </c>
      <c r="R283" s="21">
        <v>0</v>
      </c>
      <c r="S283" s="21">
        <v>0</v>
      </c>
    </row>
    <row r="284" spans="1:19" x14ac:dyDescent="0.2">
      <c r="A284" s="13">
        <f t="shared" si="81"/>
        <v>284</v>
      </c>
      <c r="B284" s="4" t="s">
        <v>5</v>
      </c>
      <c r="C284" s="4" t="s">
        <v>5</v>
      </c>
      <c r="D284" s="43" t="s">
        <v>5</v>
      </c>
      <c r="E284" s="44" t="s">
        <v>5</v>
      </c>
      <c r="F284" s="45"/>
      <c r="G284" s="46"/>
      <c r="H284" s="46"/>
      <c r="I284" s="46"/>
      <c r="L284" s="21">
        <v>0</v>
      </c>
      <c r="M284" s="21">
        <v>0</v>
      </c>
      <c r="N284" s="21">
        <v>0</v>
      </c>
      <c r="O284" s="21">
        <v>0</v>
      </c>
      <c r="P284" s="21">
        <v>0</v>
      </c>
      <c r="Q284" s="21">
        <v>0</v>
      </c>
      <c r="R284" s="21">
        <v>0</v>
      </c>
      <c r="S284" s="21">
        <v>0</v>
      </c>
    </row>
    <row r="285" spans="1:19" x14ac:dyDescent="0.2">
      <c r="A285" s="13">
        <f t="shared" si="81"/>
        <v>285</v>
      </c>
      <c r="B285" s="4" t="s">
        <v>115</v>
      </c>
      <c r="C285" s="4"/>
      <c r="D285" s="43" t="s">
        <v>5</v>
      </c>
      <c r="E285" s="44" t="s">
        <v>5</v>
      </c>
      <c r="F285" s="45"/>
      <c r="G285" s="46">
        <f t="shared" ref="G285:I285" si="95">G263+G283</f>
        <v>3494060315.2372308</v>
      </c>
      <c r="H285" s="46">
        <f t="shared" si="95"/>
        <v>3353334597.181819</v>
      </c>
      <c r="I285" s="46">
        <f t="shared" si="95"/>
        <v>140725718.05541173</v>
      </c>
      <c r="J285" s="20">
        <f>IF($E$1149=1,($G285),IF($E$1149=2,($G285),IF($E$1149=3,0,IF($E$1149=4,($H285),IF($E$1149=5,($I285),0)))))</f>
        <v>0</v>
      </c>
      <c r="L285" s="21">
        <v>0</v>
      </c>
      <c r="M285" s="21">
        <v>0</v>
      </c>
      <c r="N285" s="21">
        <v>0</v>
      </c>
      <c r="O285" s="21">
        <v>0</v>
      </c>
      <c r="P285" s="21">
        <v>0</v>
      </c>
      <c r="Q285" s="21">
        <v>0</v>
      </c>
      <c r="R285" s="21">
        <v>0</v>
      </c>
      <c r="S285" s="21">
        <v>0</v>
      </c>
    </row>
    <row r="286" spans="1:19" x14ac:dyDescent="0.2">
      <c r="A286" s="13">
        <f t="shared" si="81"/>
        <v>286</v>
      </c>
      <c r="B286" s="38" t="str">
        <f>B244</f>
        <v>* * * TABLE 3 - ADDITIONS &amp; DELETIONS TO RATE BASE * * *</v>
      </c>
      <c r="C286" s="4"/>
      <c r="D286" s="43"/>
      <c r="E286" s="44"/>
      <c r="F286" s="45"/>
      <c r="G286" s="46"/>
      <c r="H286" s="46"/>
      <c r="I286" s="46"/>
      <c r="L286" s="21">
        <v>0</v>
      </c>
      <c r="M286" s="21">
        <v>0</v>
      </c>
      <c r="N286" s="21">
        <v>0</v>
      </c>
      <c r="O286" s="21">
        <v>0</v>
      </c>
      <c r="P286" s="21">
        <v>0</v>
      </c>
      <c r="Q286" s="21">
        <v>0</v>
      </c>
      <c r="R286" s="21">
        <v>0</v>
      </c>
      <c r="S286" s="21">
        <v>0</v>
      </c>
    </row>
    <row r="287" spans="1:19" x14ac:dyDescent="0.2">
      <c r="A287" s="13">
        <f t="shared" si="81"/>
        <v>287</v>
      </c>
      <c r="B287" s="38" t="s">
        <v>39</v>
      </c>
      <c r="C287" s="4"/>
      <c r="D287" s="43"/>
      <c r="E287" s="44"/>
      <c r="F287" s="45"/>
      <c r="G287" s="46"/>
      <c r="H287" s="46"/>
      <c r="I287" s="46"/>
      <c r="L287" s="21">
        <v>0</v>
      </c>
      <c r="M287" s="21">
        <v>0</v>
      </c>
      <c r="N287" s="21">
        <v>0</v>
      </c>
      <c r="O287" s="21">
        <v>0</v>
      </c>
      <c r="P287" s="21">
        <v>0</v>
      </c>
      <c r="Q287" s="21">
        <v>0</v>
      </c>
      <c r="R287" s="21">
        <v>0</v>
      </c>
      <c r="S287" s="21">
        <v>0</v>
      </c>
    </row>
    <row r="288" spans="1:19" x14ac:dyDescent="0.2">
      <c r="A288" s="13">
        <f t="shared" si="81"/>
        <v>288</v>
      </c>
      <c r="B288" s="4" t="s">
        <v>115</v>
      </c>
      <c r="C288" s="4"/>
      <c r="D288" s="43"/>
      <c r="E288" s="44"/>
      <c r="F288" s="45"/>
      <c r="G288" s="46">
        <f t="shared" ref="G288:I288" si="96">G263+G283</f>
        <v>3494060315.2372308</v>
      </c>
      <c r="H288" s="46">
        <f t="shared" si="96"/>
        <v>3353334597.181819</v>
      </c>
      <c r="I288" s="46">
        <f t="shared" si="96"/>
        <v>140725718.05541173</v>
      </c>
      <c r="J288" s="20">
        <f>IF($E$1149=1,($G288),IF($E$1149=2,($G288),IF($E$1149=3,0,IF($E$1149=4,($H288),IF($E$1149=5,($I288),0)))))</f>
        <v>0</v>
      </c>
      <c r="L288" s="21">
        <v>0</v>
      </c>
      <c r="M288" s="21">
        <v>0</v>
      </c>
      <c r="N288" s="21">
        <v>0</v>
      </c>
      <c r="O288" s="21">
        <v>0</v>
      </c>
      <c r="P288" s="21">
        <v>0</v>
      </c>
      <c r="Q288" s="21">
        <v>0</v>
      </c>
      <c r="R288" s="21">
        <v>0</v>
      </c>
      <c r="S288" s="21">
        <v>0</v>
      </c>
    </row>
    <row r="289" spans="1:19" x14ac:dyDescent="0.2">
      <c r="A289" s="13">
        <f t="shared" si="81"/>
        <v>289</v>
      </c>
      <c r="B289" s="4" t="s">
        <v>130</v>
      </c>
      <c r="C289" s="4"/>
      <c r="D289" s="43"/>
      <c r="E289" s="44"/>
      <c r="F289" s="45"/>
      <c r="G289" s="46"/>
      <c r="H289" s="46"/>
      <c r="I289" s="46"/>
      <c r="L289" s="21">
        <v>0</v>
      </c>
      <c r="M289" s="21">
        <v>0</v>
      </c>
      <c r="N289" s="21">
        <v>0</v>
      </c>
      <c r="O289" s="21">
        <v>0</v>
      </c>
      <c r="P289" s="21">
        <v>0</v>
      </c>
      <c r="Q289" s="21">
        <v>0</v>
      </c>
      <c r="R289" s="21">
        <v>0</v>
      </c>
      <c r="S289" s="21">
        <v>0</v>
      </c>
    </row>
    <row r="290" spans="1:19" x14ac:dyDescent="0.2">
      <c r="A290" s="13">
        <f t="shared" si="81"/>
        <v>290</v>
      </c>
      <c r="B290" s="4" t="s">
        <v>149</v>
      </c>
      <c r="C290" s="4"/>
      <c r="D290" s="43"/>
      <c r="E290" s="44"/>
      <c r="F290" s="45"/>
      <c r="G290" s="46"/>
      <c r="H290" s="46"/>
      <c r="I290" s="46"/>
      <c r="L290" s="21">
        <v>0</v>
      </c>
      <c r="M290" s="21">
        <v>0</v>
      </c>
      <c r="N290" s="21">
        <v>0</v>
      </c>
      <c r="O290" s="21">
        <v>0</v>
      </c>
      <c r="P290" s="21">
        <v>0</v>
      </c>
      <c r="Q290" s="21">
        <v>0</v>
      </c>
      <c r="R290" s="21">
        <v>0</v>
      </c>
      <c r="S290" s="21">
        <v>0</v>
      </c>
    </row>
    <row r="291" spans="1:19" x14ac:dyDescent="0.2">
      <c r="A291" s="13">
        <f t="shared" si="81"/>
        <v>291</v>
      </c>
      <c r="B291" s="4" t="s">
        <v>150</v>
      </c>
      <c r="C291" s="4"/>
      <c r="D291" s="43" t="s">
        <v>508</v>
      </c>
      <c r="E291" s="44">
        <f>A101</f>
        <v>101</v>
      </c>
      <c r="F291" s="45"/>
      <c r="G291" s="21">
        <f t="shared" ref="G291:G298" si="97">IF($E$1149=1,($L291),IF($E$1149=2,($M291),IF($E$1149=3,($N291),IF($E$1149=4,($O291),IF($E$1149=5,($P291),IF($E$1149=6,($Q291),IF($E$1149=7,($R291),IF($E$1149=8,($S291),0))))))))</f>
        <v>0</v>
      </c>
      <c r="H291" s="48">
        <f t="shared" ref="H291:I291" si="98">IF($G$101&lt;&gt;0,($G291)*(H$101/$G$101),0)</f>
        <v>0</v>
      </c>
      <c r="I291" s="48">
        <f t="shared" si="98"/>
        <v>0</v>
      </c>
      <c r="J291" s="20">
        <f t="shared" ref="J291:J299" si="99">IF($E$1149=1,($G291),IF($E$1149=2,($G291),IF($E$1149=3,0,IF($E$1149=4,($H291),IF($E$1149=5,($I291),0)))))</f>
        <v>0</v>
      </c>
      <c r="L291" s="21">
        <v>109961.54</v>
      </c>
      <c r="M291" s="21">
        <v>0</v>
      </c>
      <c r="N291" s="21">
        <v>0</v>
      </c>
      <c r="O291" s="21">
        <v>-1477017.894615385</v>
      </c>
      <c r="P291" s="21">
        <v>109961.54</v>
      </c>
      <c r="Q291" s="21">
        <v>0</v>
      </c>
      <c r="R291" s="21">
        <v>0</v>
      </c>
      <c r="S291" s="21">
        <v>0</v>
      </c>
    </row>
    <row r="292" spans="1:19" x14ac:dyDescent="0.2">
      <c r="A292" s="13">
        <f t="shared" si="81"/>
        <v>292</v>
      </c>
      <c r="B292" s="4" t="s">
        <v>151</v>
      </c>
      <c r="C292" s="63"/>
      <c r="D292" s="43" t="s">
        <v>508</v>
      </c>
      <c r="E292" s="44">
        <f>A111</f>
        <v>111</v>
      </c>
      <c r="F292" s="45"/>
      <c r="G292" s="21">
        <f t="shared" si="97"/>
        <v>1588887.614615385</v>
      </c>
      <c r="H292" s="48">
        <f>IF($G$111&lt;&gt;0,($G292)*(SUM(H$109:H$110)/$G$111),0)</f>
        <v>1525564.0615912878</v>
      </c>
      <c r="I292" s="48">
        <f>IF($G$111&lt;&gt;0,($G292)*(SUM(I$109:I$110)/$G$111),0)</f>
        <v>63323.553024097135</v>
      </c>
      <c r="J292" s="20">
        <f t="shared" si="99"/>
        <v>0</v>
      </c>
      <c r="L292" s="21">
        <v>1477017.894615385</v>
      </c>
      <c r="M292" s="21">
        <v>1588887.614615385</v>
      </c>
      <c r="N292" s="21">
        <v>1588887.614615385</v>
      </c>
      <c r="O292" s="21">
        <v>111869.71999999997</v>
      </c>
      <c r="P292" s="21">
        <v>1477017.894615385</v>
      </c>
      <c r="Q292" s="21">
        <v>1588887.614615385</v>
      </c>
      <c r="R292" s="21">
        <v>1588887.614615385</v>
      </c>
      <c r="S292" s="21">
        <v>1588887.614615385</v>
      </c>
    </row>
    <row r="293" spans="1:19" x14ac:dyDescent="0.2">
      <c r="A293" s="13">
        <f t="shared" si="81"/>
        <v>293</v>
      </c>
      <c r="B293" s="4" t="s">
        <v>152</v>
      </c>
      <c r="C293" s="4"/>
      <c r="D293" s="43" t="s">
        <v>508</v>
      </c>
      <c r="E293" s="44">
        <f>A116</f>
        <v>116</v>
      </c>
      <c r="F293" s="45"/>
      <c r="G293" s="21">
        <f t="shared" si="97"/>
        <v>0</v>
      </c>
      <c r="H293" s="48">
        <f>IF($G$116&lt;&gt;0,($G293)*(SUM(H$114:H$115)/$G$116),0)</f>
        <v>0</v>
      </c>
      <c r="I293" s="48">
        <f>IF($G$116&lt;&gt;0,($G293)*(SUM(I$114:I$115)/$G$116),0)</f>
        <v>0</v>
      </c>
      <c r="J293" s="20">
        <f t="shared" si="99"/>
        <v>0</v>
      </c>
      <c r="L293" s="21">
        <v>384465.57</v>
      </c>
      <c r="M293" s="21">
        <v>0</v>
      </c>
      <c r="N293" s="21">
        <v>0</v>
      </c>
      <c r="O293" s="21">
        <v>-384465.57</v>
      </c>
      <c r="P293" s="21">
        <v>384465.57</v>
      </c>
      <c r="Q293" s="21">
        <v>0</v>
      </c>
      <c r="R293" s="21">
        <v>0</v>
      </c>
      <c r="S293" s="21">
        <v>0</v>
      </c>
    </row>
    <row r="294" spans="1:19" x14ac:dyDescent="0.2">
      <c r="A294" s="13">
        <f t="shared" si="81"/>
        <v>294</v>
      </c>
      <c r="B294" s="4" t="s">
        <v>153</v>
      </c>
      <c r="C294" s="4"/>
      <c r="D294" s="43" t="s">
        <v>508</v>
      </c>
      <c r="E294" s="44">
        <f>A121</f>
        <v>121</v>
      </c>
      <c r="F294" s="45"/>
      <c r="G294" s="21">
        <f t="shared" si="97"/>
        <v>0</v>
      </c>
      <c r="H294" s="48">
        <f>IF($G$121&lt;&gt;0,($G294)*(SUM(H$119:H$120)/$G$121),0)</f>
        <v>0</v>
      </c>
      <c r="I294" s="48">
        <f>IF($G$121&lt;&gt;0,($G294)*(SUM(I$119:I$120)/$G$121),0)</f>
        <v>0</v>
      </c>
      <c r="J294" s="20">
        <f t="shared" si="99"/>
        <v>0</v>
      </c>
      <c r="L294" s="21">
        <v>32400</v>
      </c>
      <c r="M294" s="21">
        <v>0</v>
      </c>
      <c r="N294" s="21">
        <v>0</v>
      </c>
      <c r="O294" s="21">
        <v>-32400</v>
      </c>
      <c r="P294" s="21">
        <v>32400</v>
      </c>
      <c r="Q294" s="21">
        <v>0</v>
      </c>
      <c r="R294" s="21">
        <v>0</v>
      </c>
      <c r="S294" s="21">
        <v>0</v>
      </c>
    </row>
    <row r="295" spans="1:19" x14ac:dyDescent="0.2">
      <c r="A295" s="13">
        <f t="shared" si="81"/>
        <v>295</v>
      </c>
      <c r="B295" s="4" t="s">
        <v>154</v>
      </c>
      <c r="C295" s="4"/>
      <c r="D295" s="43" t="s">
        <v>508</v>
      </c>
      <c r="E295" s="44">
        <f>A149</f>
        <v>149</v>
      </c>
      <c r="F295" s="45"/>
      <c r="G295" s="21">
        <f t="shared" si="97"/>
        <v>1537768.3723076924</v>
      </c>
      <c r="H295" s="48">
        <f t="shared" ref="H295:I295" si="100">IF($G$149&lt;&gt;0,($G295)*((H$149)/$G$149),0)</f>
        <v>1500272.7654098354</v>
      </c>
      <c r="I295" s="48">
        <f t="shared" si="100"/>
        <v>37495.606897857077</v>
      </c>
      <c r="J295" s="20">
        <f t="shared" si="99"/>
        <v>0</v>
      </c>
      <c r="L295" s="21">
        <v>1537768.3723076924</v>
      </c>
      <c r="M295" s="21">
        <v>1537768.3723076924</v>
      </c>
      <c r="N295" s="21">
        <v>1537768.3723076924</v>
      </c>
      <c r="O295" s="21">
        <v>0</v>
      </c>
      <c r="P295" s="21">
        <v>1537768.3723076924</v>
      </c>
      <c r="Q295" s="21">
        <v>1537768.3723076924</v>
      </c>
      <c r="R295" s="21">
        <v>1537768.3723076924</v>
      </c>
      <c r="S295" s="21">
        <v>1537768.3723076924</v>
      </c>
    </row>
    <row r="296" spans="1:19" x14ac:dyDescent="0.2">
      <c r="A296" s="13">
        <f t="shared" si="81"/>
        <v>296</v>
      </c>
      <c r="B296" s="4" t="s">
        <v>155</v>
      </c>
      <c r="C296" s="4"/>
      <c r="D296" s="43" t="s">
        <v>508</v>
      </c>
      <c r="E296" s="44">
        <f>A150</f>
        <v>150</v>
      </c>
      <c r="F296" s="45"/>
      <c r="G296" s="21">
        <f t="shared" si="97"/>
        <v>0</v>
      </c>
      <c r="H296" s="48">
        <f t="shared" ref="H296:I296" si="101">IF($G$150&lt;&gt;0,($G296)*(H150/$G$150),0)</f>
        <v>0</v>
      </c>
      <c r="I296" s="48">
        <f t="shared" si="101"/>
        <v>0</v>
      </c>
      <c r="J296" s="20">
        <f t="shared" si="99"/>
        <v>0</v>
      </c>
      <c r="L296" s="21">
        <v>513485.9</v>
      </c>
      <c r="M296" s="21">
        <v>0</v>
      </c>
      <c r="N296" s="21">
        <v>0</v>
      </c>
      <c r="O296" s="21">
        <v>-513485.9</v>
      </c>
      <c r="P296" s="21">
        <v>513485.9</v>
      </c>
      <c r="Q296" s="21">
        <v>0</v>
      </c>
      <c r="R296" s="21">
        <v>0</v>
      </c>
      <c r="S296" s="21">
        <v>0</v>
      </c>
    </row>
    <row r="297" spans="1:19" x14ac:dyDescent="0.2">
      <c r="A297" s="13">
        <f t="shared" si="81"/>
        <v>297</v>
      </c>
      <c r="B297" s="4" t="s">
        <v>156</v>
      </c>
      <c r="C297" s="4"/>
      <c r="D297" s="43" t="s">
        <v>508</v>
      </c>
      <c r="E297" s="44">
        <f>A165</f>
        <v>165</v>
      </c>
      <c r="F297" s="45"/>
      <c r="G297" s="21">
        <f t="shared" si="97"/>
        <v>0</v>
      </c>
      <c r="H297" s="48">
        <f>IF($G165&lt;&gt;0,($G297)*(H165/$G165),0)</f>
        <v>0</v>
      </c>
      <c r="I297" s="48">
        <f>IF($G165&lt;&gt;0,($G297)*(I165/$G165),0)</f>
        <v>0</v>
      </c>
      <c r="J297" s="20">
        <f t="shared" si="99"/>
        <v>0</v>
      </c>
      <c r="L297" s="21">
        <v>141369.04153846146</v>
      </c>
      <c r="M297" s="21">
        <v>0</v>
      </c>
      <c r="N297" s="21">
        <v>0</v>
      </c>
      <c r="O297" s="21">
        <v>-141369.04153846146</v>
      </c>
      <c r="P297" s="21">
        <v>141369.04153846146</v>
      </c>
      <c r="Q297" s="21">
        <v>0</v>
      </c>
      <c r="R297" s="21">
        <v>0</v>
      </c>
      <c r="S297" s="21">
        <v>0</v>
      </c>
    </row>
    <row r="298" spans="1:19" x14ac:dyDescent="0.2">
      <c r="A298" s="13">
        <f t="shared" si="81"/>
        <v>298</v>
      </c>
      <c r="B298" s="4" t="s">
        <v>157</v>
      </c>
      <c r="C298" s="4"/>
      <c r="D298" s="43" t="s">
        <v>508</v>
      </c>
      <c r="E298" s="44">
        <f>A166</f>
        <v>166</v>
      </c>
      <c r="F298" s="45"/>
      <c r="G298" s="21">
        <f t="shared" si="97"/>
        <v>0</v>
      </c>
      <c r="H298" s="48">
        <f>IF($G166&lt;&gt;0,($G298)*(H166/$G166),0)</f>
        <v>0</v>
      </c>
      <c r="I298" s="48">
        <f>IF($G166&lt;&gt;0,($G298)*(I166/$G166),0)</f>
        <v>0</v>
      </c>
      <c r="J298" s="20">
        <f t="shared" si="99"/>
        <v>0</v>
      </c>
      <c r="L298" s="21">
        <v>0</v>
      </c>
      <c r="M298" s="21">
        <v>0</v>
      </c>
      <c r="N298" s="21">
        <v>0</v>
      </c>
      <c r="O298" s="21">
        <v>0</v>
      </c>
      <c r="P298" s="21">
        <v>0</v>
      </c>
      <c r="Q298" s="21">
        <v>0</v>
      </c>
      <c r="R298" s="21">
        <v>0</v>
      </c>
      <c r="S298" s="21">
        <v>0</v>
      </c>
    </row>
    <row r="299" spans="1:19" x14ac:dyDescent="0.2">
      <c r="A299" s="13">
        <f t="shared" si="81"/>
        <v>299</v>
      </c>
      <c r="B299" s="4" t="s">
        <v>5</v>
      </c>
      <c r="C299" s="4" t="s">
        <v>158</v>
      </c>
      <c r="D299" s="43" t="s">
        <v>5</v>
      </c>
      <c r="E299" s="44" t="s">
        <v>5</v>
      </c>
      <c r="F299" s="45"/>
      <c r="G299" s="46">
        <f>SUM(G291:G298)</f>
        <v>3126655.9869230771</v>
      </c>
      <c r="H299" s="46">
        <f t="shared" ref="H299:I299" si="102">SUM(H291:H298)</f>
        <v>3025836.8270011232</v>
      </c>
      <c r="I299" s="46">
        <f t="shared" si="102"/>
        <v>100819.15992195421</v>
      </c>
      <c r="J299" s="20">
        <f t="shared" si="99"/>
        <v>0</v>
      </c>
      <c r="L299" s="21">
        <v>0</v>
      </c>
      <c r="M299" s="21">
        <v>0</v>
      </c>
      <c r="N299" s="21">
        <v>0</v>
      </c>
      <c r="O299" s="21">
        <v>0</v>
      </c>
      <c r="P299" s="21">
        <v>0</v>
      </c>
      <c r="Q299" s="21">
        <v>0</v>
      </c>
      <c r="R299" s="21">
        <v>0</v>
      </c>
      <c r="S299" s="21">
        <v>0</v>
      </c>
    </row>
    <row r="300" spans="1:19" x14ac:dyDescent="0.2">
      <c r="A300" s="13">
        <f t="shared" si="81"/>
        <v>300</v>
      </c>
      <c r="B300" s="4" t="s">
        <v>5</v>
      </c>
      <c r="C300" s="4" t="s">
        <v>5</v>
      </c>
      <c r="D300" s="43"/>
      <c r="E300" s="44"/>
      <c r="F300" s="45"/>
      <c r="G300" s="46"/>
      <c r="H300" s="46"/>
      <c r="I300" s="46"/>
      <c r="L300" s="21">
        <v>0</v>
      </c>
      <c r="M300" s="21">
        <v>0</v>
      </c>
      <c r="N300" s="21">
        <v>0</v>
      </c>
      <c r="O300" s="21">
        <v>0</v>
      </c>
      <c r="P300" s="21">
        <v>0</v>
      </c>
      <c r="Q300" s="21">
        <v>0</v>
      </c>
      <c r="R300" s="21">
        <v>0</v>
      </c>
      <c r="S300" s="21">
        <v>0</v>
      </c>
    </row>
    <row r="301" spans="1:19" x14ac:dyDescent="0.2">
      <c r="A301" s="13">
        <f t="shared" si="81"/>
        <v>301</v>
      </c>
      <c r="B301" s="4"/>
      <c r="C301" s="4" t="s">
        <v>159</v>
      </c>
      <c r="D301" s="43" t="s">
        <v>39</v>
      </c>
      <c r="E301" s="64" t="str">
        <f>E$1007</f>
        <v>D60</v>
      </c>
      <c r="F301" s="45"/>
      <c r="G301" s="21">
        <f>IF($E$1149=1,($L301),IF($E$1149=2,($M301),IF($E$1149=3,($N301),IF($E$1149=4,($O301),IF($E$1149=5,($P301),IF($E$1149=6,($Q301),IF($E$1149=7,($R301),IF($E$1149=8,($S301),0))))))))</f>
        <v>0</v>
      </c>
      <c r="H301" s="48">
        <f>IF($G995&lt;&gt;0,($G301)*(H995/$G995),0)</f>
        <v>0</v>
      </c>
      <c r="I301" s="48">
        <f>IF($G995&lt;&gt;0,($G301)*(I995/$G995),0)</f>
        <v>0</v>
      </c>
      <c r="J301" s="20">
        <f>IF($E$1149=1,($G301),IF($E$1149=2,($G301),IF($E$1149=3,0,IF($E$1149=4,($H301),IF($E$1149=5,($I301),0)))))</f>
        <v>0</v>
      </c>
      <c r="L301" s="21">
        <v>673300.96</v>
      </c>
      <c r="M301" s="21">
        <v>673300.96</v>
      </c>
      <c r="N301" s="21">
        <v>673300.96</v>
      </c>
      <c r="O301" s="21">
        <v>673300.96</v>
      </c>
      <c r="P301" s="21">
        <v>0</v>
      </c>
      <c r="Q301" s="21">
        <v>0</v>
      </c>
      <c r="R301" s="21">
        <v>0</v>
      </c>
      <c r="S301" s="21">
        <v>673300.96</v>
      </c>
    </row>
    <row r="302" spans="1:19" x14ac:dyDescent="0.2">
      <c r="A302" s="13">
        <f t="shared" si="81"/>
        <v>302</v>
      </c>
      <c r="B302" s="4"/>
      <c r="C302" s="4"/>
      <c r="D302" s="43"/>
      <c r="E302" s="44"/>
      <c r="F302" s="45"/>
      <c r="G302" s="46"/>
      <c r="H302" s="46"/>
      <c r="I302" s="46"/>
      <c r="L302" s="21">
        <v>0</v>
      </c>
      <c r="M302" s="21">
        <v>0</v>
      </c>
      <c r="N302" s="21">
        <v>0</v>
      </c>
      <c r="O302" s="21">
        <v>0</v>
      </c>
      <c r="P302" s="21">
        <v>0</v>
      </c>
      <c r="Q302" s="21">
        <v>0</v>
      </c>
      <c r="R302" s="21">
        <v>0</v>
      </c>
      <c r="S302" s="21">
        <v>0</v>
      </c>
    </row>
    <row r="303" spans="1:19" x14ac:dyDescent="0.2">
      <c r="A303" s="13">
        <f t="shared" si="81"/>
        <v>303</v>
      </c>
      <c r="B303" s="4" t="s">
        <v>160</v>
      </c>
      <c r="C303" s="4"/>
      <c r="D303" s="43" t="s">
        <v>5</v>
      </c>
      <c r="E303" s="44" t="s">
        <v>5</v>
      </c>
      <c r="F303" s="45"/>
      <c r="L303" s="21">
        <v>0</v>
      </c>
      <c r="M303" s="21">
        <v>0</v>
      </c>
      <c r="N303" s="21">
        <v>0</v>
      </c>
      <c r="O303" s="21">
        <v>0</v>
      </c>
      <c r="P303" s="21">
        <v>0</v>
      </c>
      <c r="Q303" s="21">
        <v>0</v>
      </c>
      <c r="R303" s="21">
        <v>0</v>
      </c>
      <c r="S303" s="21">
        <v>0</v>
      </c>
    </row>
    <row r="304" spans="1:19" x14ac:dyDescent="0.2">
      <c r="A304" s="13">
        <f t="shared" si="81"/>
        <v>304</v>
      </c>
      <c r="B304" s="4" t="s">
        <v>161</v>
      </c>
      <c r="C304" s="4"/>
      <c r="D304" s="43" t="s">
        <v>5</v>
      </c>
      <c r="E304" s="44" t="s">
        <v>5</v>
      </c>
      <c r="F304" s="45"/>
      <c r="L304" s="21">
        <v>0</v>
      </c>
      <c r="M304" s="21">
        <v>0</v>
      </c>
      <c r="N304" s="21">
        <v>0</v>
      </c>
      <c r="O304" s="21">
        <v>0</v>
      </c>
      <c r="P304" s="21">
        <v>0</v>
      </c>
      <c r="Q304" s="21">
        <v>0</v>
      </c>
      <c r="R304" s="21">
        <v>0</v>
      </c>
      <c r="S304" s="21">
        <v>0</v>
      </c>
    </row>
    <row r="305" spans="1:19" x14ac:dyDescent="0.2">
      <c r="A305" s="13">
        <f t="shared" si="81"/>
        <v>305</v>
      </c>
      <c r="B305" s="4" t="s">
        <v>5</v>
      </c>
      <c r="C305" s="4" t="s">
        <v>162</v>
      </c>
      <c r="D305" s="43" t="s">
        <v>5</v>
      </c>
      <c r="E305" s="44" t="str">
        <f>(E$1049)</f>
        <v>CIDA</v>
      </c>
      <c r="F305" s="45"/>
      <c r="G305" s="21">
        <f>IF($E$1149=1,($L305),IF($E$1149=2,($M305),IF($E$1149=3,($N305),IF($E$1149=4,($O305),IF($E$1149=5,($P305),IF($E$1149=6,($Q305),IF($E$1149=7,($R305),IF($E$1149=8,($S305),0))))))))</f>
        <v>0</v>
      </c>
      <c r="H305" s="48">
        <f>IF($G$1049&lt;&gt;0,($G305)*(H$1049/$G$1049),0)</f>
        <v>0</v>
      </c>
      <c r="I305" s="48">
        <f>IF($G$1049&lt;&gt;0,($G305)*(I$1049/$G$1049),0)</f>
        <v>0</v>
      </c>
      <c r="J305" s="20">
        <f>IF($E$1149=1,($G305),IF($E$1149=2,($G305),IF($E$1149=3,0,IF($E$1149=4,($H305),IF($E$1149=5,($I305),0)))))</f>
        <v>0</v>
      </c>
      <c r="L305" s="21">
        <v>0</v>
      </c>
      <c r="M305" s="21">
        <v>0</v>
      </c>
      <c r="N305" s="21">
        <v>0</v>
      </c>
      <c r="O305" s="21">
        <v>0</v>
      </c>
      <c r="P305" s="21">
        <v>0</v>
      </c>
      <c r="Q305" s="21">
        <v>0</v>
      </c>
      <c r="R305" s="21">
        <v>0</v>
      </c>
      <c r="S305" s="21">
        <v>0</v>
      </c>
    </row>
    <row r="306" spans="1:19" x14ac:dyDescent="0.2">
      <c r="A306" s="13">
        <f t="shared" si="81"/>
        <v>306</v>
      </c>
      <c r="B306" s="4" t="s">
        <v>5</v>
      </c>
      <c r="C306" s="4" t="s">
        <v>163</v>
      </c>
      <c r="D306" s="43" t="s">
        <v>5</v>
      </c>
      <c r="E306" s="44" t="str">
        <f>(E$1050)</f>
        <v>CODA</v>
      </c>
      <c r="F306" s="45"/>
      <c r="G306" s="21">
        <f>IF($E$1149=1,($L306),IF($E$1149=2,($M306),IF($E$1149=3,($N306),IF($E$1149=4,($O306),IF($E$1149=5,($P306),IF($E$1149=6,($Q306),IF($E$1149=7,($R306),IF($E$1149=8,($S306),0))))))))</f>
        <v>0</v>
      </c>
      <c r="H306" s="48">
        <f>IF($G$1050&lt;&gt;0,($G306)*(H$1050/$G$1050),0)</f>
        <v>0</v>
      </c>
      <c r="I306" s="48">
        <f>IF($G$1050&lt;&gt;0,($G306)*(I$1050/$G$1050),0)</f>
        <v>0</v>
      </c>
      <c r="J306" s="20">
        <f>IF($E$1149=1,($G306),IF($E$1149=2,($G306),IF($E$1149=3,0,IF($E$1149=4,($H306),IF($E$1149=5,($I306),0)))))</f>
        <v>0</v>
      </c>
      <c r="L306" s="21">
        <v>0</v>
      </c>
      <c r="M306" s="21">
        <v>0</v>
      </c>
      <c r="N306" s="21">
        <v>0</v>
      </c>
      <c r="O306" s="21">
        <v>0</v>
      </c>
      <c r="P306" s="21">
        <v>0</v>
      </c>
      <c r="Q306" s="21">
        <v>0</v>
      </c>
      <c r="R306" s="21">
        <v>0</v>
      </c>
      <c r="S306" s="21">
        <v>0</v>
      </c>
    </row>
    <row r="307" spans="1:19" x14ac:dyDescent="0.2">
      <c r="A307" s="13">
        <f t="shared" si="81"/>
        <v>307</v>
      </c>
      <c r="B307" s="4" t="s">
        <v>39</v>
      </c>
      <c r="C307" s="4" t="s">
        <v>164</v>
      </c>
      <c r="D307" s="43"/>
      <c r="E307" s="44"/>
      <c r="F307" s="45"/>
      <c r="G307" s="46">
        <f>SUM(G305:G306)</f>
        <v>0</v>
      </c>
      <c r="H307" s="46">
        <f>SUM(H305:H306)</f>
        <v>0</v>
      </c>
      <c r="I307" s="46">
        <f>SUM(I305:I306)</f>
        <v>0</v>
      </c>
      <c r="J307" s="20">
        <f>IF($E$1149=1,($G307),IF($E$1149=2,($G307),IF($E$1149=3,0,IF($E$1149=4,($H307),IF($E$1149=5,($I307),0)))))</f>
        <v>0</v>
      </c>
      <c r="L307" s="21">
        <v>0</v>
      </c>
      <c r="M307" s="21">
        <v>0</v>
      </c>
      <c r="N307" s="21">
        <v>0</v>
      </c>
      <c r="O307" s="21">
        <v>0</v>
      </c>
      <c r="P307" s="21">
        <v>0</v>
      </c>
      <c r="Q307" s="21">
        <v>0</v>
      </c>
      <c r="R307" s="21">
        <v>0</v>
      </c>
      <c r="S307" s="21">
        <v>0</v>
      </c>
    </row>
    <row r="308" spans="1:19" x14ac:dyDescent="0.2">
      <c r="A308" s="13">
        <f t="shared" si="81"/>
        <v>308</v>
      </c>
      <c r="B308" s="4" t="s">
        <v>165</v>
      </c>
      <c r="C308" s="4"/>
      <c r="D308" s="43"/>
      <c r="E308" s="44"/>
      <c r="F308" s="45"/>
      <c r="L308" s="21">
        <v>0</v>
      </c>
      <c r="M308" s="21">
        <v>0</v>
      </c>
      <c r="N308" s="21">
        <v>0</v>
      </c>
      <c r="O308" s="21">
        <v>0</v>
      </c>
      <c r="P308" s="21">
        <v>0</v>
      </c>
      <c r="Q308" s="21">
        <v>0</v>
      </c>
      <c r="R308" s="21">
        <v>0</v>
      </c>
      <c r="S308" s="21">
        <v>0</v>
      </c>
    </row>
    <row r="309" spans="1:19" x14ac:dyDescent="0.2">
      <c r="A309" s="13">
        <f t="shared" si="81"/>
        <v>309</v>
      </c>
      <c r="B309" s="4"/>
      <c r="C309" s="3" t="s">
        <v>166</v>
      </c>
      <c r="D309" s="65"/>
      <c r="E309" s="44" t="str">
        <f>(E$1050)</f>
        <v>CODA</v>
      </c>
      <c r="F309" s="45"/>
      <c r="G309" s="21">
        <f t="shared" ref="G309:G317" si="103">IF($E$1149=1,($L309),IF($E$1149=2,($M309),IF($E$1149=3,($N309),IF($E$1149=4,($O309),IF($E$1149=5,($P309),IF($E$1149=6,($Q309),IF($E$1149=7,($R309),IF($E$1149=8,($S309),0))))))))</f>
        <v>49412</v>
      </c>
      <c r="H309" s="48">
        <f>IF($G$1050&lt;&gt;0,($G309)*(H$1050/$G$1050),0)</f>
        <v>0</v>
      </c>
      <c r="I309" s="48">
        <f>IF($G$1050&lt;&gt;0,($G309)*(I$1050/$G$1050),0)</f>
        <v>49412</v>
      </c>
      <c r="J309" s="20">
        <f t="shared" ref="J309:J322" si="104">IF($E$1149=1,($G309),IF($E$1149=2,($G309),IF($E$1149=3,0,IF($E$1149=4,($H309),IF($E$1149=5,($I309),0)))))</f>
        <v>0</v>
      </c>
      <c r="L309" s="21">
        <v>49412</v>
      </c>
      <c r="M309" s="21">
        <v>49412</v>
      </c>
      <c r="N309" s="21">
        <v>49412</v>
      </c>
      <c r="O309" s="21">
        <v>49412</v>
      </c>
      <c r="P309" s="21">
        <v>49412</v>
      </c>
      <c r="Q309" s="21">
        <v>49412</v>
      </c>
      <c r="R309" s="21">
        <v>49412</v>
      </c>
      <c r="S309" s="21">
        <v>49412</v>
      </c>
    </row>
    <row r="310" spans="1:19" x14ac:dyDescent="0.2">
      <c r="A310" s="13">
        <f t="shared" si="81"/>
        <v>310</v>
      </c>
      <c r="B310" s="4"/>
      <c r="C310" s="4" t="s">
        <v>509</v>
      </c>
      <c r="D310" s="43"/>
      <c r="E310" s="44" t="str">
        <f>(E$1004)</f>
        <v>D10</v>
      </c>
      <c r="F310" s="45"/>
      <c r="G310" s="21">
        <f t="shared" si="103"/>
        <v>198080</v>
      </c>
      <c r="H310" s="48">
        <f>IF($G1004&lt;&gt;0,($G310)*(H1004/$G1004),0)</f>
        <v>190185.71643479681</v>
      </c>
      <c r="I310" s="48">
        <f>IF($G1004&lt;&gt;0,($G310)*(I1004/$G1004),0)</f>
        <v>7894.2835652032063</v>
      </c>
      <c r="J310" s="20">
        <f t="shared" si="104"/>
        <v>0</v>
      </c>
      <c r="L310" s="21">
        <v>198080</v>
      </c>
      <c r="M310" s="21">
        <v>198080</v>
      </c>
      <c r="N310" s="21">
        <v>198080</v>
      </c>
      <c r="O310" s="21">
        <v>198080</v>
      </c>
      <c r="P310" s="21">
        <v>198080</v>
      </c>
      <c r="Q310" s="21">
        <v>198080</v>
      </c>
      <c r="R310" s="21">
        <v>198080</v>
      </c>
      <c r="S310" s="21">
        <v>198080</v>
      </c>
    </row>
    <row r="311" spans="1:19" x14ac:dyDescent="0.2">
      <c r="A311" s="13">
        <f t="shared" si="81"/>
        <v>311</v>
      </c>
      <c r="B311" s="4"/>
      <c r="C311" s="3" t="s">
        <v>167</v>
      </c>
      <c r="D311" s="43"/>
      <c r="E311" s="44" t="str">
        <f>(E$1050)</f>
        <v>CODA</v>
      </c>
      <c r="F311" s="45"/>
      <c r="G311" s="21">
        <f t="shared" si="103"/>
        <v>6671906</v>
      </c>
      <c r="H311" s="48">
        <f>IF($G$1050&lt;&gt;0,($G311)*(H$1050/$G$1050),0)</f>
        <v>0</v>
      </c>
      <c r="I311" s="48">
        <f>IF($G$1050&lt;&gt;0,($G311)*(I$1050/$G$1050),0)</f>
        <v>6671906</v>
      </c>
      <c r="J311" s="20">
        <f t="shared" si="104"/>
        <v>0</v>
      </c>
      <c r="L311" s="21">
        <v>6671906</v>
      </c>
      <c r="M311" s="21">
        <v>6671906</v>
      </c>
      <c r="N311" s="21">
        <v>6671906</v>
      </c>
      <c r="O311" s="21">
        <v>6671906</v>
      </c>
      <c r="P311" s="21">
        <v>6671906</v>
      </c>
      <c r="Q311" s="21">
        <v>6671906</v>
      </c>
      <c r="R311" s="21">
        <v>6671906</v>
      </c>
      <c r="S311" s="21">
        <v>6671906</v>
      </c>
    </row>
    <row r="312" spans="1:19" x14ac:dyDescent="0.2">
      <c r="A312" s="13">
        <f t="shared" si="81"/>
        <v>312</v>
      </c>
      <c r="B312" s="4"/>
      <c r="C312" s="3" t="s">
        <v>168</v>
      </c>
      <c r="D312" s="43"/>
      <c r="E312" s="44" t="str">
        <f>(E$1049)</f>
        <v>CIDA</v>
      </c>
      <c r="F312" s="45"/>
      <c r="G312" s="21">
        <f t="shared" si="103"/>
        <v>1408857.42</v>
      </c>
      <c r="H312" s="48">
        <f t="shared" ref="H312:I315" si="105">IF($G$1049&lt;&gt;0,($G312)*(H$1049/$G$1049),0)</f>
        <v>1408857.42</v>
      </c>
      <c r="I312" s="48">
        <f t="shared" si="105"/>
        <v>0</v>
      </c>
      <c r="J312" s="20">
        <f t="shared" si="104"/>
        <v>0</v>
      </c>
      <c r="L312" s="21">
        <v>1408857.42</v>
      </c>
      <c r="M312" s="21">
        <v>1408857.42</v>
      </c>
      <c r="N312" s="21">
        <v>1408857.42</v>
      </c>
      <c r="O312" s="21">
        <v>1408857.42</v>
      </c>
      <c r="P312" s="21">
        <v>1408857.42</v>
      </c>
      <c r="Q312" s="21">
        <v>1408857.42</v>
      </c>
      <c r="R312" s="21">
        <v>1408857.42</v>
      </c>
      <c r="S312" s="21">
        <v>1408857.42</v>
      </c>
    </row>
    <row r="313" spans="1:19" x14ac:dyDescent="0.2">
      <c r="A313" s="13">
        <f t="shared" si="81"/>
        <v>313</v>
      </c>
      <c r="B313" s="4"/>
      <c r="C313" s="4" t="s">
        <v>169</v>
      </c>
      <c r="D313" s="43"/>
      <c r="E313" s="44" t="str">
        <f t="shared" ref="E313:E314" si="106">(E$1049)</f>
        <v>CIDA</v>
      </c>
      <c r="F313" s="45"/>
      <c r="G313" s="21">
        <f t="shared" si="103"/>
        <v>0</v>
      </c>
      <c r="H313" s="48">
        <f t="shared" si="105"/>
        <v>0</v>
      </c>
      <c r="I313" s="48">
        <f t="shared" si="105"/>
        <v>0</v>
      </c>
      <c r="J313" s="20">
        <f t="shared" si="104"/>
        <v>0</v>
      </c>
      <c r="L313" s="21">
        <v>0</v>
      </c>
      <c r="M313" s="21">
        <v>0</v>
      </c>
      <c r="N313" s="21">
        <v>0</v>
      </c>
      <c r="O313" s="21">
        <v>0</v>
      </c>
      <c r="P313" s="21">
        <v>0</v>
      </c>
      <c r="Q313" s="21">
        <v>0</v>
      </c>
      <c r="R313" s="21">
        <v>0</v>
      </c>
      <c r="S313" s="21">
        <v>0</v>
      </c>
    </row>
    <row r="314" spans="1:19" x14ac:dyDescent="0.2">
      <c r="A314" s="13">
        <f t="shared" si="81"/>
        <v>314</v>
      </c>
      <c r="B314" s="4"/>
      <c r="C314" s="3" t="s">
        <v>170</v>
      </c>
      <c r="D314" s="43"/>
      <c r="E314" s="44" t="str">
        <f t="shared" si="106"/>
        <v>CIDA</v>
      </c>
      <c r="F314" s="45"/>
      <c r="G314" s="21">
        <f t="shared" si="103"/>
        <v>0</v>
      </c>
      <c r="H314" s="48">
        <f t="shared" si="105"/>
        <v>0</v>
      </c>
      <c r="I314" s="48">
        <f t="shared" si="105"/>
        <v>0</v>
      </c>
      <c r="J314" s="20">
        <f t="shared" si="104"/>
        <v>0</v>
      </c>
      <c r="L314" s="21">
        <v>9043981.4800000004</v>
      </c>
      <c r="M314" s="21">
        <v>9043981.4800000004</v>
      </c>
      <c r="N314" s="21">
        <v>9043981.4800000004</v>
      </c>
      <c r="O314" s="21">
        <v>9043981.4800000004</v>
      </c>
      <c r="P314" s="21">
        <v>9043981.4800000004</v>
      </c>
      <c r="Q314" s="21">
        <v>9043981.4800000004</v>
      </c>
      <c r="R314" s="21">
        <v>0</v>
      </c>
      <c r="S314" s="21">
        <v>9043981.4800000004</v>
      </c>
    </row>
    <row r="315" spans="1:19" x14ac:dyDescent="0.2">
      <c r="A315" s="13">
        <f t="shared" si="81"/>
        <v>315</v>
      </c>
      <c r="B315" s="4"/>
      <c r="C315" s="3" t="s">
        <v>171</v>
      </c>
      <c r="D315" s="43"/>
      <c r="E315" s="44" t="str">
        <f>(E$1049)</f>
        <v>CIDA</v>
      </c>
      <c r="F315" s="45"/>
      <c r="G315" s="21">
        <f t="shared" si="103"/>
        <v>13495438</v>
      </c>
      <c r="H315" s="48">
        <f t="shared" si="105"/>
        <v>13495438</v>
      </c>
      <c r="I315" s="48">
        <f t="shared" si="105"/>
        <v>0</v>
      </c>
      <c r="J315" s="20">
        <f t="shared" si="104"/>
        <v>0</v>
      </c>
      <c r="L315" s="21">
        <v>13495438</v>
      </c>
      <c r="M315" s="21">
        <v>13495438</v>
      </c>
      <c r="N315" s="21">
        <v>13495438</v>
      </c>
      <c r="O315" s="21">
        <v>13495438</v>
      </c>
      <c r="P315" s="21">
        <v>13495438</v>
      </c>
      <c r="Q315" s="21">
        <v>13495438</v>
      </c>
      <c r="R315" s="21">
        <v>13495438</v>
      </c>
      <c r="S315" s="21">
        <v>13495438</v>
      </c>
    </row>
    <row r="316" spans="1:19" x14ac:dyDescent="0.2">
      <c r="A316" s="13">
        <f t="shared" si="81"/>
        <v>316</v>
      </c>
      <c r="B316" s="4"/>
      <c r="C316" s="3" t="s">
        <v>172</v>
      </c>
      <c r="D316" s="43"/>
      <c r="E316" s="44" t="str">
        <f>(E$1050)</f>
        <v>CODA</v>
      </c>
      <c r="F316" s="45"/>
      <c r="G316" s="21">
        <f t="shared" si="103"/>
        <v>0</v>
      </c>
      <c r="H316" s="48">
        <f>IF($G$1050&lt;&gt;0,($G316)*(H$1050/$G$1050),0)</f>
        <v>0</v>
      </c>
      <c r="I316" s="48">
        <f>IF($G$1050&lt;&gt;0,($G316)*(I$1050/$G$1050),0)</f>
        <v>0</v>
      </c>
      <c r="J316" s="20">
        <f t="shared" si="104"/>
        <v>0</v>
      </c>
      <c r="L316" s="21">
        <v>375476</v>
      </c>
      <c r="M316" s="21">
        <v>375476</v>
      </c>
      <c r="N316" s="21">
        <v>375476</v>
      </c>
      <c r="O316" s="21">
        <v>375476</v>
      </c>
      <c r="P316" s="21">
        <v>375476</v>
      </c>
      <c r="Q316" s="21">
        <v>375476</v>
      </c>
      <c r="R316" s="21">
        <v>0</v>
      </c>
      <c r="S316" s="21">
        <v>375476</v>
      </c>
    </row>
    <row r="317" spans="1:19" x14ac:dyDescent="0.2">
      <c r="A317" s="13">
        <f t="shared" si="81"/>
        <v>317</v>
      </c>
      <c r="B317" s="4"/>
      <c r="C317" s="3" t="s">
        <v>173</v>
      </c>
      <c r="D317" s="43"/>
      <c r="E317" s="44" t="str">
        <f>(E$1050)</f>
        <v>CODA</v>
      </c>
      <c r="F317" s="45"/>
      <c r="G317" s="21">
        <f t="shared" si="103"/>
        <v>550421</v>
      </c>
      <c r="H317" s="48">
        <f>IF($G$1050&lt;&gt;0,($G317)*(H$1050/$G$1050),0)</f>
        <v>0</v>
      </c>
      <c r="I317" s="48">
        <f>IF($G$1050&lt;&gt;0,($G317)*(I$1050/$G$1050),0)</f>
        <v>550421</v>
      </c>
      <c r="J317" s="20">
        <f t="shared" si="104"/>
        <v>0</v>
      </c>
      <c r="L317" s="21">
        <v>550421</v>
      </c>
      <c r="M317" s="21">
        <v>550421</v>
      </c>
      <c r="N317" s="21">
        <v>550421</v>
      </c>
      <c r="O317" s="21">
        <v>550421</v>
      </c>
      <c r="P317" s="21">
        <v>550421</v>
      </c>
      <c r="Q317" s="21">
        <v>550421</v>
      </c>
      <c r="R317" s="21">
        <v>550421</v>
      </c>
      <c r="S317" s="21">
        <v>550421</v>
      </c>
    </row>
    <row r="318" spans="1:19" x14ac:dyDescent="0.2">
      <c r="A318" s="13">
        <f t="shared" si="81"/>
        <v>318</v>
      </c>
      <c r="B318" s="4"/>
      <c r="C318" s="4" t="s">
        <v>174</v>
      </c>
      <c r="D318" s="43" t="s">
        <v>5</v>
      </c>
      <c r="E318" s="44"/>
      <c r="F318" s="45"/>
      <c r="G318" s="46">
        <f>SUM(G309:G317)</f>
        <v>22374114.420000002</v>
      </c>
      <c r="H318" s="46">
        <f>SUM(H309:H317)</f>
        <v>15094481.136434797</v>
      </c>
      <c r="I318" s="46">
        <f>SUM(I309:I317)</f>
        <v>7279633.2835652037</v>
      </c>
      <c r="J318" s="20">
        <f t="shared" si="104"/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  <c r="Q318" s="21">
        <v>0</v>
      </c>
      <c r="R318" s="21">
        <v>0</v>
      </c>
      <c r="S318" s="21">
        <v>0</v>
      </c>
    </row>
    <row r="319" spans="1:19" x14ac:dyDescent="0.2">
      <c r="A319" s="13">
        <f t="shared" si="81"/>
        <v>319</v>
      </c>
      <c r="B319" s="4" t="s">
        <v>175</v>
      </c>
      <c r="C319" s="4"/>
      <c r="D319" s="43"/>
      <c r="E319" s="44" t="str">
        <f>(E$1010)</f>
        <v>E10</v>
      </c>
      <c r="F319" s="45"/>
      <c r="G319" s="21">
        <f>IF($E$1149=1,($L319),IF($E$1149=2,($M319),IF($E$1149=3,($N319),IF($E$1149=4,($O319),IF($E$1149=5,($P319),IF($E$1149=6,($Q319),IF($E$1149=7,($R319),IF($E$1149=8,($S319),0))))))))</f>
        <v>0</v>
      </c>
      <c r="H319" s="48">
        <f>IF($G$1010&lt;&gt;0,($G319)*(H$1010/$G$1010),0)</f>
        <v>0</v>
      </c>
      <c r="I319" s="48">
        <f>IF($G$1010&lt;&gt;0,($G319)*(I$1010/$G$1010),0)</f>
        <v>0</v>
      </c>
      <c r="J319" s="20">
        <f t="shared" si="104"/>
        <v>0</v>
      </c>
      <c r="L319" s="21">
        <v>0</v>
      </c>
      <c r="M319" s="21">
        <v>0</v>
      </c>
      <c r="N319" s="21">
        <v>0</v>
      </c>
      <c r="O319" s="21">
        <v>0</v>
      </c>
      <c r="P319" s="21">
        <v>0</v>
      </c>
      <c r="Q319" s="21">
        <v>0</v>
      </c>
      <c r="R319" s="21">
        <v>0</v>
      </c>
      <c r="S319" s="21">
        <v>0</v>
      </c>
    </row>
    <row r="320" spans="1:19" x14ac:dyDescent="0.2">
      <c r="A320" s="13">
        <f t="shared" si="81"/>
        <v>320</v>
      </c>
      <c r="B320" s="4" t="s">
        <v>510</v>
      </c>
      <c r="C320" s="4"/>
      <c r="D320" s="43"/>
      <c r="E320" s="44" t="str">
        <f>(E$1050)</f>
        <v>CODA</v>
      </c>
      <c r="F320" s="45"/>
      <c r="G320" s="21">
        <f>IF($E$1149=1,($L320),IF($E$1149=2,($M320),IF($E$1149=3,($N320),IF($E$1149=4,($O320),IF($E$1149=5,($P320),IF($E$1149=6,($Q320),IF($E$1149=7,($R320),IF($E$1149=8,($S320),0))))))))</f>
        <v>-4329583</v>
      </c>
      <c r="H320" s="48">
        <f>IF($G$1050&lt;&gt;0,($G320)*(H$1050/$G$1050),0)</f>
        <v>0</v>
      </c>
      <c r="I320" s="48">
        <f>IF($G$1050&lt;&gt;0,($G320)*(I$1050/$G$1050),0)</f>
        <v>-4329583</v>
      </c>
      <c r="J320" s="20">
        <f t="shared" si="104"/>
        <v>0</v>
      </c>
      <c r="L320" s="21">
        <v>-4329583</v>
      </c>
      <c r="M320" s="21">
        <v>-4329583</v>
      </c>
      <c r="N320" s="21">
        <v>-4329583</v>
      </c>
      <c r="O320" s="21">
        <v>-4329583</v>
      </c>
      <c r="P320" s="21">
        <v>-4329583</v>
      </c>
      <c r="Q320" s="21">
        <v>-4329583</v>
      </c>
      <c r="R320" s="21">
        <v>-4329583</v>
      </c>
      <c r="S320" s="21">
        <v>-4329583</v>
      </c>
    </row>
    <row r="321" spans="1:19" x14ac:dyDescent="0.2">
      <c r="A321" s="13">
        <f t="shared" si="81"/>
        <v>321</v>
      </c>
      <c r="B321" s="4"/>
      <c r="C321" s="4" t="s">
        <v>176</v>
      </c>
      <c r="D321" s="43"/>
      <c r="E321" s="44" t="str">
        <f>(E$1050)</f>
        <v>CODA</v>
      </c>
      <c r="F321" s="45"/>
      <c r="G321" s="21">
        <f>IF($E$1149=1,($L321),IF($E$1149=2,($M321),IF($E$1149=3,($N321),IF($E$1149=4,($O321),IF($E$1149=5,($P321),IF($E$1149=6,($Q321),IF($E$1149=7,($R321),IF($E$1149=8,($S321),0))))))))</f>
        <v>-12672</v>
      </c>
      <c r="H321" s="48">
        <f>IF($G$1050&lt;&gt;0,($G321)*(H$1050/$G$1050),0)</f>
        <v>0</v>
      </c>
      <c r="I321" s="48">
        <f>IF($G$1050&lt;&gt;0,($G321)*(I$1050/$G$1050),0)</f>
        <v>-12672</v>
      </c>
      <c r="J321" s="20">
        <f t="shared" si="104"/>
        <v>0</v>
      </c>
      <c r="L321" s="21">
        <v>-12672</v>
      </c>
      <c r="M321" s="21">
        <v>-12672</v>
      </c>
      <c r="N321" s="21">
        <v>-12672</v>
      </c>
      <c r="O321" s="21">
        <v>-12672</v>
      </c>
      <c r="P321" s="21">
        <v>-12672</v>
      </c>
      <c r="Q321" s="21">
        <v>-12672</v>
      </c>
      <c r="R321" s="21">
        <v>-12672</v>
      </c>
      <c r="S321" s="21">
        <v>-12672</v>
      </c>
    </row>
    <row r="322" spans="1:19" x14ac:dyDescent="0.2">
      <c r="A322" s="13">
        <f t="shared" si="81"/>
        <v>322</v>
      </c>
      <c r="B322" s="4"/>
      <c r="C322" s="4" t="s">
        <v>177</v>
      </c>
      <c r="D322" s="43"/>
      <c r="E322" s="44"/>
      <c r="F322" s="45"/>
      <c r="G322" s="46">
        <f>SUM(G307,G318:G321)</f>
        <v>18031859.420000002</v>
      </c>
      <c r="H322" s="46">
        <f>SUM(H307,H318:H321)</f>
        <v>15094481.136434797</v>
      </c>
      <c r="I322" s="46">
        <f>SUM(I307,I318:I321)</f>
        <v>2937378.2835652037</v>
      </c>
      <c r="J322" s="20">
        <f t="shared" si="104"/>
        <v>0</v>
      </c>
      <c r="L322" s="21">
        <v>0</v>
      </c>
      <c r="M322" s="21">
        <v>0</v>
      </c>
      <c r="N322" s="21">
        <v>0</v>
      </c>
      <c r="O322" s="21">
        <v>0</v>
      </c>
      <c r="P322" s="21">
        <v>0</v>
      </c>
      <c r="Q322" s="21">
        <v>0</v>
      </c>
      <c r="R322" s="21">
        <v>0</v>
      </c>
      <c r="S322" s="21">
        <v>0</v>
      </c>
    </row>
    <row r="323" spans="1:19" x14ac:dyDescent="0.2">
      <c r="A323" s="13">
        <f t="shared" ref="A323:A386" si="107">A322+1</f>
        <v>323</v>
      </c>
      <c r="B323" s="4" t="s">
        <v>39</v>
      </c>
      <c r="C323" s="4" t="s">
        <v>39</v>
      </c>
      <c r="D323" s="43"/>
      <c r="E323" s="44"/>
      <c r="F323" s="45"/>
      <c r="G323" s="46"/>
      <c r="H323" s="12"/>
      <c r="I323" s="12"/>
      <c r="L323" s="21">
        <v>0</v>
      </c>
      <c r="M323" s="21">
        <v>0</v>
      </c>
      <c r="N323" s="21">
        <v>0</v>
      </c>
      <c r="O323" s="21">
        <v>0</v>
      </c>
      <c r="P323" s="21">
        <v>0</v>
      </c>
      <c r="Q323" s="21">
        <v>0</v>
      </c>
      <c r="R323" s="21">
        <v>0</v>
      </c>
      <c r="S323" s="21">
        <v>0</v>
      </c>
    </row>
    <row r="324" spans="1:19" x14ac:dyDescent="0.2">
      <c r="A324" s="13">
        <f t="shared" si="107"/>
        <v>324</v>
      </c>
      <c r="B324" s="4" t="s">
        <v>178</v>
      </c>
      <c r="C324" s="4"/>
      <c r="D324" s="43"/>
      <c r="E324" s="44"/>
      <c r="F324" s="45"/>
      <c r="G324" s="46"/>
      <c r="H324" s="12"/>
      <c r="I324" s="12"/>
      <c r="L324" s="21">
        <v>0</v>
      </c>
      <c r="M324" s="21">
        <v>0</v>
      </c>
      <c r="N324" s="21">
        <v>0</v>
      </c>
      <c r="O324" s="21">
        <v>0</v>
      </c>
      <c r="P324" s="21">
        <v>0</v>
      </c>
      <c r="Q324" s="21">
        <v>0</v>
      </c>
      <c r="R324" s="21">
        <v>0</v>
      </c>
      <c r="S324" s="21">
        <v>0</v>
      </c>
    </row>
    <row r="325" spans="1:19" x14ac:dyDescent="0.2">
      <c r="A325" s="13">
        <f t="shared" si="107"/>
        <v>325</v>
      </c>
      <c r="B325" s="4" t="s">
        <v>39</v>
      </c>
      <c r="C325" s="4" t="s">
        <v>179</v>
      </c>
      <c r="D325" s="43"/>
      <c r="E325" s="44" t="str">
        <f>(E$1010)</f>
        <v>E10</v>
      </c>
      <c r="F325" s="45"/>
      <c r="G325" s="21">
        <f>IF($E$1149=1,($L325),IF($E$1149=2,($M325),IF($E$1149=3,($N325),IF($E$1149=4,($O325),IF($E$1149=5,($P325),IF($E$1149=6,($Q325),IF($E$1149=7,($R325),IF($E$1149=8,($S325),0))))))))</f>
        <v>33346674</v>
      </c>
      <c r="H325" s="48">
        <f t="shared" ref="H325:I327" si="108">IF($G$1010&lt;&gt;0,($G325)*(H$1010/$G$1010),0)</f>
        <v>31873329.384883672</v>
      </c>
      <c r="I325" s="48">
        <f t="shared" si="108"/>
        <v>1473344.6151163285</v>
      </c>
      <c r="J325" s="20">
        <f>IF($E$1149=1,($G325),IF($E$1149=2,($G325),IF($E$1149=3,0,IF($E$1149=4,($H325),IF($E$1149=5,($I325),0)))))</f>
        <v>0</v>
      </c>
      <c r="L325" s="21">
        <v>33432205</v>
      </c>
      <c r="M325" s="21">
        <v>33346674</v>
      </c>
      <c r="N325" s="21">
        <v>33346674</v>
      </c>
      <c r="O325" s="21">
        <v>33346674</v>
      </c>
      <c r="P325" s="21">
        <v>33432205</v>
      </c>
      <c r="Q325" s="21">
        <v>33346674</v>
      </c>
      <c r="R325" s="21">
        <v>33346674</v>
      </c>
      <c r="S325" s="21">
        <v>33346674</v>
      </c>
    </row>
    <row r="326" spans="1:19" x14ac:dyDescent="0.2">
      <c r="A326" s="13">
        <f t="shared" si="107"/>
        <v>326</v>
      </c>
      <c r="B326" s="4" t="s">
        <v>39</v>
      </c>
      <c r="C326" s="4" t="s">
        <v>180</v>
      </c>
      <c r="D326" s="43"/>
      <c r="E326" s="44" t="str">
        <f>(E$1010)</f>
        <v>E10</v>
      </c>
      <c r="F326" s="45"/>
      <c r="G326" s="21">
        <f>IF($E$1149=1,($L326),IF($E$1149=2,($M326),IF($E$1149=3,($N326),IF($E$1149=4,($O326),IF($E$1149=5,($P326),IF($E$1149=6,($Q326),IF($E$1149=7,($R326),IF($E$1149=8,($S326),0))))))))</f>
        <v>1004978</v>
      </c>
      <c r="H326" s="48">
        <f t="shared" si="108"/>
        <v>960575.40306903236</v>
      </c>
      <c r="I326" s="48">
        <f t="shared" si="108"/>
        <v>44402.596930967615</v>
      </c>
      <c r="J326" s="20">
        <f>IF($E$1149=1,($G326),IF($E$1149=2,($G326),IF($E$1149=3,0,IF($E$1149=4,($H326),IF($E$1149=5,($I326),0)))))</f>
        <v>0</v>
      </c>
      <c r="L326" s="21">
        <v>1004978</v>
      </c>
      <c r="M326" s="21">
        <v>1004978</v>
      </c>
      <c r="N326" s="21">
        <v>1004978</v>
      </c>
      <c r="O326" s="21">
        <v>1004978</v>
      </c>
      <c r="P326" s="21">
        <v>1004978</v>
      </c>
      <c r="Q326" s="21">
        <v>1004978</v>
      </c>
      <c r="R326" s="21">
        <v>1004978</v>
      </c>
      <c r="S326" s="21">
        <v>1004978</v>
      </c>
    </row>
    <row r="327" spans="1:19" x14ac:dyDescent="0.2">
      <c r="A327" s="13">
        <f t="shared" si="107"/>
        <v>327</v>
      </c>
      <c r="B327" s="4" t="s">
        <v>39</v>
      </c>
      <c r="C327" s="4" t="s">
        <v>181</v>
      </c>
      <c r="D327" s="43"/>
      <c r="E327" s="44" t="str">
        <f>(E$1010)</f>
        <v>E10</v>
      </c>
      <c r="F327" s="45"/>
      <c r="G327" s="21">
        <f>IF($E$1149=1,($L327),IF($E$1149=2,($M327),IF($E$1149=3,($N327),IF($E$1149=4,($O327),IF($E$1149=5,($P327),IF($E$1149=6,($Q327),IF($E$1149=7,($R327),IF($E$1149=8,($S327),0))))))))</f>
        <v>7806389</v>
      </c>
      <c r="H327" s="48">
        <f t="shared" si="108"/>
        <v>7461482.0027788281</v>
      </c>
      <c r="I327" s="48">
        <f t="shared" si="108"/>
        <v>344906.99722117238</v>
      </c>
      <c r="J327" s="20">
        <f>IF($E$1149=1,($G327),IF($E$1149=2,($G327),IF($E$1149=3,0,IF($E$1149=4,($H327),IF($E$1149=5,($I327),0)))))</f>
        <v>0</v>
      </c>
      <c r="L327" s="21">
        <v>7806389</v>
      </c>
      <c r="M327" s="21">
        <v>7806389</v>
      </c>
      <c r="N327" s="21">
        <v>7806389</v>
      </c>
      <c r="O327" s="21">
        <v>7806389</v>
      </c>
      <c r="P327" s="21">
        <v>7806389</v>
      </c>
      <c r="Q327" s="21">
        <v>7806389</v>
      </c>
      <c r="R327" s="21">
        <v>7806389</v>
      </c>
      <c r="S327" s="21">
        <v>7806389</v>
      </c>
    </row>
    <row r="328" spans="1:19" x14ac:dyDescent="0.2">
      <c r="A328" s="13">
        <f t="shared" si="107"/>
        <v>328</v>
      </c>
      <c r="B328" s="4" t="s">
        <v>5</v>
      </c>
      <c r="C328" s="4" t="s">
        <v>182</v>
      </c>
      <c r="D328" s="43"/>
      <c r="E328" s="44" t="s">
        <v>5</v>
      </c>
      <c r="F328" s="45"/>
      <c r="G328" s="46">
        <f>SUM(G325:G327)</f>
        <v>42158041</v>
      </c>
      <c r="H328" s="46">
        <f t="shared" ref="H328:I328" si="109">SUM(H325:H327)</f>
        <v>40295386.790731534</v>
      </c>
      <c r="I328" s="46">
        <f t="shared" si="109"/>
        <v>1862654.2092684684</v>
      </c>
      <c r="J328" s="20">
        <f>IF($E$1149=1,($G328),IF($E$1149=2,($G328),IF($E$1149=3,0,IF($E$1149=4,($H328),IF($E$1149=5,($I328),0)))))</f>
        <v>0</v>
      </c>
      <c r="L328" s="21">
        <v>0</v>
      </c>
      <c r="M328" s="21">
        <v>0</v>
      </c>
      <c r="N328" s="21">
        <v>0</v>
      </c>
      <c r="O328" s="21">
        <v>0</v>
      </c>
      <c r="P328" s="21">
        <v>0</v>
      </c>
      <c r="Q328" s="21">
        <v>0</v>
      </c>
      <c r="R328" s="21">
        <v>0</v>
      </c>
      <c r="S328" s="21">
        <v>0</v>
      </c>
    </row>
    <row r="329" spans="1:19" x14ac:dyDescent="0.2">
      <c r="A329" s="13">
        <f t="shared" si="107"/>
        <v>329</v>
      </c>
      <c r="B329" s="4" t="s">
        <v>5</v>
      </c>
      <c r="C329" s="4" t="s">
        <v>5</v>
      </c>
      <c r="D329" s="43"/>
      <c r="E329" s="44" t="s">
        <v>5</v>
      </c>
      <c r="F329" s="45"/>
      <c r="G329" s="46"/>
      <c r="H329" s="46"/>
      <c r="I329" s="46"/>
      <c r="L329" s="21">
        <v>0</v>
      </c>
      <c r="M329" s="21">
        <v>0</v>
      </c>
      <c r="N329" s="21">
        <v>0</v>
      </c>
      <c r="O329" s="21">
        <v>0</v>
      </c>
      <c r="P329" s="21">
        <v>0</v>
      </c>
      <c r="Q329" s="21">
        <v>0</v>
      </c>
      <c r="R329" s="21">
        <v>0</v>
      </c>
      <c r="S329" s="21">
        <v>0</v>
      </c>
    </row>
    <row r="330" spans="1:19" x14ac:dyDescent="0.2">
      <c r="A330" s="13">
        <f t="shared" si="107"/>
        <v>330</v>
      </c>
      <c r="B330" s="4" t="s">
        <v>5</v>
      </c>
      <c r="C330" s="4" t="s">
        <v>38</v>
      </c>
      <c r="D330" s="43"/>
      <c r="E330" s="44" t="s">
        <v>5</v>
      </c>
      <c r="F330" s="45"/>
      <c r="G330" s="46">
        <f>G288+G299+G301+G322+G328</f>
        <v>3557376871.6441541</v>
      </c>
      <c r="H330" s="46">
        <f>H288+H299+H301+H322+H328</f>
        <v>3411750301.9359865</v>
      </c>
      <c r="I330" s="46">
        <f>I288+I299+I301+I322+I328</f>
        <v>145626569.70816734</v>
      </c>
      <c r="J330" s="20">
        <f>J288+J299+J301+J322+J328</f>
        <v>0</v>
      </c>
      <c r="L330" s="21">
        <v>0</v>
      </c>
      <c r="M330" s="21">
        <v>0</v>
      </c>
      <c r="N330" s="21">
        <v>0</v>
      </c>
      <c r="O330" s="21">
        <v>0</v>
      </c>
      <c r="P330" s="21">
        <v>0</v>
      </c>
      <c r="Q330" s="21">
        <v>0</v>
      </c>
      <c r="R330" s="21">
        <v>0</v>
      </c>
      <c r="S330" s="21">
        <v>0</v>
      </c>
    </row>
    <row r="331" spans="1:19" x14ac:dyDescent="0.2">
      <c r="A331" s="13">
        <f t="shared" si="107"/>
        <v>331</v>
      </c>
      <c r="B331" s="38" t="str">
        <f>"* * * TABLE 4 - OPERATING REVENUES * * *"</f>
        <v>* * * TABLE 4 - OPERATING REVENUES * * *</v>
      </c>
      <c r="C331" s="4"/>
      <c r="D331" s="43" t="s">
        <v>5</v>
      </c>
      <c r="E331" s="44"/>
      <c r="F331" s="45"/>
      <c r="L331" s="21">
        <v>0</v>
      </c>
      <c r="M331" s="21">
        <v>0</v>
      </c>
      <c r="N331" s="21">
        <v>0</v>
      </c>
      <c r="O331" s="21">
        <v>0</v>
      </c>
      <c r="P331" s="21">
        <v>0</v>
      </c>
      <c r="Q331" s="21">
        <v>0</v>
      </c>
      <c r="R331" s="21">
        <v>0</v>
      </c>
      <c r="S331" s="21">
        <v>0</v>
      </c>
    </row>
    <row r="332" spans="1:19" x14ac:dyDescent="0.2">
      <c r="A332" s="13">
        <f t="shared" si="107"/>
        <v>332</v>
      </c>
      <c r="B332" s="4" t="s">
        <v>18</v>
      </c>
      <c r="C332" s="4"/>
      <c r="D332" s="43"/>
      <c r="E332" s="44"/>
      <c r="F332" s="45"/>
      <c r="G332" s="111" t="s">
        <v>654</v>
      </c>
      <c r="H332" s="42">
        <v>47677385</v>
      </c>
      <c r="I332" s="42">
        <v>1168033</v>
      </c>
      <c r="L332" s="21">
        <v>0</v>
      </c>
      <c r="M332" s="21">
        <v>0</v>
      </c>
      <c r="N332" s="21">
        <v>0</v>
      </c>
      <c r="O332" s="21">
        <v>0</v>
      </c>
      <c r="P332" s="21">
        <v>0</v>
      </c>
      <c r="Q332" s="21">
        <v>0</v>
      </c>
      <c r="R332" s="21">
        <v>0</v>
      </c>
      <c r="S332" s="21">
        <v>0</v>
      </c>
    </row>
    <row r="333" spans="1:19" ht="10.8" thickBot="1" x14ac:dyDescent="0.25">
      <c r="A333" s="13">
        <f t="shared" si="107"/>
        <v>333</v>
      </c>
      <c r="B333" s="4" t="s">
        <v>183</v>
      </c>
      <c r="C333" s="4"/>
      <c r="D333" s="43"/>
      <c r="E333" s="44"/>
      <c r="F333" s="45"/>
      <c r="L333" s="21">
        <v>0</v>
      </c>
      <c r="M333" s="21">
        <v>0</v>
      </c>
      <c r="N333" s="21">
        <v>0</v>
      </c>
      <c r="O333" s="21">
        <v>0</v>
      </c>
      <c r="P333" s="21">
        <v>0</v>
      </c>
      <c r="Q333" s="21">
        <v>0</v>
      </c>
      <c r="R333" s="21">
        <v>0</v>
      </c>
      <c r="S333" s="21">
        <v>0</v>
      </c>
    </row>
    <row r="334" spans="1:19" ht="10.8" thickBot="1" x14ac:dyDescent="0.25">
      <c r="A334" s="13">
        <f t="shared" si="107"/>
        <v>334</v>
      </c>
      <c r="B334" s="4" t="s">
        <v>184</v>
      </c>
      <c r="C334" s="4"/>
      <c r="D334" s="43"/>
      <c r="E334" s="44" t="str">
        <f>(E$1044)</f>
        <v>RETREV</v>
      </c>
      <c r="F334" s="45"/>
      <c r="G334" s="21">
        <f>IF($E$1149=1,($L334),IF($E$1149=2,($M334),IF($E$1149=3,($N334),IF($E$1149=4,($O334),IF($E$1149=5,($P334),IF($E$1149=6,($Q334),IF($E$1149=7,($R334),IF($E$1149=8,($S334),0))))))))</f>
        <v>1064403317</v>
      </c>
      <c r="H334" s="109">
        <f>H1044-H332</f>
        <v>1013255019.3525488</v>
      </c>
      <c r="I334" s="110">
        <f>I1044-I332</f>
        <v>51148297.58115308</v>
      </c>
      <c r="J334" s="20">
        <f>IF($E$1149=1,($G334),IF($E$1149=2,($G334),IF($E$1149=3,0,IF($E$1149=4,($H334),IF($E$1149=5,($I334),0)))))</f>
        <v>0</v>
      </c>
      <c r="L334" s="21">
        <v>1252334331</v>
      </c>
      <c r="M334" s="21">
        <v>1252334331</v>
      </c>
      <c r="N334" s="21">
        <v>1252334331</v>
      </c>
      <c r="O334" s="21">
        <v>1252334331</v>
      </c>
      <c r="P334" s="21">
        <v>1252334331</v>
      </c>
      <c r="Q334" s="21">
        <v>1252334331</v>
      </c>
      <c r="R334" s="21">
        <v>1064403317</v>
      </c>
      <c r="S334" s="21">
        <v>1252334331</v>
      </c>
    </row>
    <row r="335" spans="1:19" x14ac:dyDescent="0.2">
      <c r="A335" s="13">
        <f t="shared" si="107"/>
        <v>335</v>
      </c>
      <c r="B335" s="4" t="s">
        <v>511</v>
      </c>
      <c r="C335" s="4" t="s">
        <v>512</v>
      </c>
      <c r="D335" s="66"/>
      <c r="E335" s="44" t="str">
        <f>E1010</f>
        <v>E10</v>
      </c>
      <c r="F335" s="45"/>
      <c r="G335" s="21">
        <f>IF($E$1149=1,($L335),IF($E$1149=2,($M335),IF($E$1149=3,($N335),IF($E$1149=4,($O335),IF($E$1149=5,($P335),IF($E$1149=6,($Q335),IF($E$1149=7,($R335),IF($E$1149=8,($S335),0))))))))</f>
        <v>0</v>
      </c>
      <c r="H335" s="48">
        <f>IF($G$1010&lt;&gt;0,($G335)*(H$1010/$G$1010),0)</f>
        <v>0</v>
      </c>
      <c r="I335" s="48">
        <f>IF($G$1010&lt;&gt;0,($G335)*(I$1010/$G$1010),0)</f>
        <v>0</v>
      </c>
      <c r="J335" s="20">
        <f>IF($E$1149=1,($G335),IF($E$1149=2,($G335),IF($E$1149=3,0,IF($E$1149=4,($H335),IF($E$1149=5,($I335),0)))))</f>
        <v>0</v>
      </c>
      <c r="L335" s="21">
        <v>0</v>
      </c>
      <c r="M335" s="21">
        <v>0</v>
      </c>
      <c r="N335" s="21">
        <v>0</v>
      </c>
      <c r="O335" s="21">
        <v>0</v>
      </c>
      <c r="P335" s="21">
        <v>0</v>
      </c>
      <c r="Q335" s="21">
        <v>0</v>
      </c>
      <c r="R335" s="21">
        <v>0</v>
      </c>
      <c r="S335" s="21">
        <v>0</v>
      </c>
    </row>
    <row r="336" spans="1:19" x14ac:dyDescent="0.2">
      <c r="A336" s="13">
        <f t="shared" si="107"/>
        <v>336</v>
      </c>
      <c r="B336" s="4" t="s">
        <v>511</v>
      </c>
      <c r="C336" s="4" t="s">
        <v>513</v>
      </c>
      <c r="D336" s="43"/>
      <c r="E336" s="44" t="str">
        <f>E1010</f>
        <v>E10</v>
      </c>
      <c r="F336" s="45"/>
      <c r="G336" s="21">
        <f>IF($E$1149=1,($L336),IF($E$1149=2,($M336),IF($E$1149=3,($N336),IF($E$1149=4,($O336),IF($E$1149=5,($P336),IF($E$1149=6,($Q336),IF($E$1149=7,($R336),IF($E$1149=8,($S336),0))))))))</f>
        <v>25349100</v>
      </c>
      <c r="H336" s="48">
        <f>IF($G$1010&lt;&gt;0,($G336)*(H$1010/$G$1010),0)</f>
        <v>24229109.443129312</v>
      </c>
      <c r="I336" s="48">
        <f>IF($G$1010&lt;&gt;0,($G336)*(I$1010/$G$1010),0)</f>
        <v>1119990.5568706889</v>
      </c>
      <c r="J336" s="20">
        <f>IF($E$1149=1,($G336),IF($E$1149=2,($G336),IF($E$1149=3,0,IF($E$1149=4,($H336),IF($E$1149=5,($I336),0)))))</f>
        <v>0</v>
      </c>
      <c r="L336" s="21">
        <v>90426613</v>
      </c>
      <c r="M336" s="21">
        <v>90426613</v>
      </c>
      <c r="N336" s="21">
        <v>90426613</v>
      </c>
      <c r="O336" s="21">
        <v>90426613</v>
      </c>
      <c r="P336" s="21">
        <v>90426613</v>
      </c>
      <c r="Q336" s="21">
        <v>90426613</v>
      </c>
      <c r="R336" s="21">
        <v>25349100</v>
      </c>
      <c r="S336" s="21">
        <v>90426613</v>
      </c>
    </row>
    <row r="337" spans="1:19" x14ac:dyDescent="0.2">
      <c r="A337" s="13">
        <f t="shared" si="107"/>
        <v>337</v>
      </c>
      <c r="B337" s="4" t="s">
        <v>5</v>
      </c>
      <c r="C337" s="4" t="s">
        <v>185</v>
      </c>
      <c r="D337" s="43"/>
      <c r="E337" s="44" t="s">
        <v>5</v>
      </c>
      <c r="F337" s="45"/>
      <c r="G337" s="46">
        <f t="shared" ref="G337:I337" si="110">SUM(G334:G336)</f>
        <v>1089752417</v>
      </c>
      <c r="H337" s="46">
        <f t="shared" si="110"/>
        <v>1037484128.7956781</v>
      </c>
      <c r="I337" s="46">
        <f t="shared" si="110"/>
        <v>52268288.138023771</v>
      </c>
      <c r="J337" s="20">
        <f>IF($E$1149=1,($G337),IF($E$1149=2,($G337),IF($E$1149=3,0,IF($E$1149=4,($H337),IF($E$1149=5,($I337),0)))))</f>
        <v>0</v>
      </c>
      <c r="L337" s="21">
        <v>0</v>
      </c>
      <c r="M337" s="21">
        <v>0</v>
      </c>
      <c r="N337" s="21">
        <v>0</v>
      </c>
      <c r="O337" s="21">
        <v>0</v>
      </c>
      <c r="P337" s="21">
        <v>0</v>
      </c>
      <c r="Q337" s="21">
        <v>0</v>
      </c>
      <c r="R337" s="21">
        <v>0</v>
      </c>
      <c r="S337" s="21">
        <v>0</v>
      </c>
    </row>
    <row r="338" spans="1:19" x14ac:dyDescent="0.2">
      <c r="A338" s="13">
        <f t="shared" si="107"/>
        <v>338</v>
      </c>
      <c r="B338" s="4" t="s">
        <v>5</v>
      </c>
      <c r="C338" s="4" t="s">
        <v>5</v>
      </c>
      <c r="D338" s="43" t="s">
        <v>5</v>
      </c>
      <c r="E338" s="44" t="s">
        <v>5</v>
      </c>
      <c r="F338" s="45"/>
      <c r="L338" s="21">
        <v>0</v>
      </c>
      <c r="M338" s="21">
        <v>0</v>
      </c>
      <c r="N338" s="21">
        <v>0</v>
      </c>
      <c r="O338" s="21">
        <v>0</v>
      </c>
      <c r="P338" s="21">
        <v>0</v>
      </c>
      <c r="Q338" s="21">
        <v>0</v>
      </c>
      <c r="R338" s="21">
        <v>0</v>
      </c>
      <c r="S338" s="21">
        <v>0</v>
      </c>
    </row>
    <row r="339" spans="1:19" x14ac:dyDescent="0.2">
      <c r="A339" s="13">
        <f t="shared" si="107"/>
        <v>339</v>
      </c>
      <c r="B339" s="4" t="s">
        <v>186</v>
      </c>
      <c r="C339" s="4"/>
      <c r="D339" s="43" t="s">
        <v>5</v>
      </c>
      <c r="E339" s="44" t="s">
        <v>5</v>
      </c>
      <c r="F339" s="45"/>
      <c r="L339" s="21">
        <v>0</v>
      </c>
      <c r="M339" s="21">
        <v>0</v>
      </c>
      <c r="N339" s="21">
        <v>0</v>
      </c>
      <c r="O339" s="21">
        <v>0</v>
      </c>
      <c r="P339" s="21">
        <v>0</v>
      </c>
      <c r="Q339" s="21">
        <v>0</v>
      </c>
      <c r="R339" s="21">
        <v>0</v>
      </c>
      <c r="S339" s="21">
        <v>0</v>
      </c>
    </row>
    <row r="340" spans="1:19" x14ac:dyDescent="0.2">
      <c r="A340" s="13">
        <f t="shared" si="107"/>
        <v>340</v>
      </c>
      <c r="B340" s="67" t="s">
        <v>187</v>
      </c>
      <c r="C340" s="4"/>
      <c r="D340" s="43" t="s">
        <v>5</v>
      </c>
      <c r="E340" s="44" t="s">
        <v>514</v>
      </c>
      <c r="F340" s="45"/>
      <c r="G340" s="21">
        <f>IF($E$1149=1,($L340),IF($E$1149=2,($M340),IF($E$1149=3,($N340),IF($E$1149=4,($O340),IF($E$1149=5,($P340),IF($E$1149=6,($Q340),IF($E$1149=7,($R340),IF($E$1149=8,($S340),0))))))))</f>
        <v>3961447.55</v>
      </c>
      <c r="H340" s="48">
        <f>IF($G$1007&lt;&gt;0,($G340)*(H$1007/$G$1007),0)</f>
        <v>3816278.2443041513</v>
      </c>
      <c r="I340" s="48">
        <f>IF($G$1007&lt;&gt;0,($G340)*(I$1007/$G$1007),0)</f>
        <v>145169.30569584863</v>
      </c>
      <c r="J340" s="20">
        <f t="shared" ref="J340" si="111">IF($E$1149=1,($G340),IF($E$1149=2,($G340),IF($E$1149=3,0,IF($E$1149=4,($H340),IF($E$1149=5,($I340),0)))))</f>
        <v>0</v>
      </c>
      <c r="L340" s="21">
        <v>0</v>
      </c>
      <c r="M340" s="21">
        <v>3961447.55</v>
      </c>
      <c r="N340" s="21">
        <v>3961447.55</v>
      </c>
      <c r="O340" s="21">
        <v>3961447.55</v>
      </c>
      <c r="P340" s="21">
        <v>0</v>
      </c>
      <c r="Q340" s="21">
        <v>3961447.55</v>
      </c>
      <c r="R340" s="21">
        <v>3961447.55</v>
      </c>
      <c r="S340" s="21">
        <v>3961447.55</v>
      </c>
    </row>
    <row r="341" spans="1:19" x14ac:dyDescent="0.2">
      <c r="A341" s="13">
        <f t="shared" si="107"/>
        <v>341</v>
      </c>
      <c r="B341" s="67"/>
      <c r="C341" s="4"/>
      <c r="D341" s="43"/>
      <c r="E341" s="44"/>
      <c r="F341" s="45"/>
      <c r="G341" s="21"/>
      <c r="H341" s="48"/>
      <c r="I341" s="48"/>
    </row>
    <row r="342" spans="1:19" x14ac:dyDescent="0.2">
      <c r="A342" s="13">
        <f t="shared" si="107"/>
        <v>342</v>
      </c>
      <c r="B342" s="4" t="s">
        <v>188</v>
      </c>
      <c r="C342" s="4"/>
      <c r="D342" s="43" t="s">
        <v>5</v>
      </c>
      <c r="E342" s="44" t="s">
        <v>5</v>
      </c>
      <c r="F342" s="45"/>
    </row>
    <row r="343" spans="1:19" x14ac:dyDescent="0.2">
      <c r="A343" s="13">
        <f t="shared" si="107"/>
        <v>343</v>
      </c>
      <c r="B343" s="67"/>
      <c r="C343" s="4" t="s">
        <v>189</v>
      </c>
      <c r="D343" s="43" t="s">
        <v>5</v>
      </c>
      <c r="E343" s="44" t="str">
        <f>(E$1005)</f>
        <v>D11</v>
      </c>
      <c r="F343" s="45"/>
      <c r="G343" s="21">
        <f>IF($E$1149=1,($L343),IF($E$1149=2,($M343),IF($E$1149=3,($N343),IF($E$1149=4,($O343),IF($E$1149=5,($P343),IF($E$1149=6,($Q343),IF($E$1149=7,($R343),IF($E$1149=8,($S343),0))))))))</f>
        <v>0</v>
      </c>
      <c r="H343" s="48">
        <f>IF($G$1005&lt;&gt;0,($G343)*(H$1005/$G$1005),0)</f>
        <v>0</v>
      </c>
      <c r="I343" s="48">
        <f>IF($G$1005&lt;&gt;0,($G343)*(I$1005/$G$1005),0)</f>
        <v>0</v>
      </c>
      <c r="J343" s="20">
        <f>IF($E$1149=1,($G343),IF($E$1149=2,($G343),IF($E$1149=3,0,IF($E$1149=4,($H343),IF($E$1149=5,($I343),0)))))</f>
        <v>0</v>
      </c>
      <c r="L343" s="21">
        <v>0</v>
      </c>
      <c r="M343" s="21">
        <v>0</v>
      </c>
      <c r="N343" s="21">
        <v>0</v>
      </c>
      <c r="O343" s="21">
        <v>0</v>
      </c>
      <c r="P343" s="21">
        <v>0</v>
      </c>
      <c r="Q343" s="21">
        <v>0</v>
      </c>
      <c r="R343" s="21">
        <v>0</v>
      </c>
      <c r="S343" s="21">
        <v>0</v>
      </c>
    </row>
    <row r="344" spans="1:19" x14ac:dyDescent="0.2">
      <c r="A344" s="13">
        <f t="shared" si="107"/>
        <v>344</v>
      </c>
      <c r="B344" s="67"/>
      <c r="C344" s="4" t="s">
        <v>190</v>
      </c>
      <c r="D344" s="43" t="s">
        <v>5</v>
      </c>
      <c r="E344" s="44" t="str">
        <f>(E$1005)</f>
        <v>D11</v>
      </c>
      <c r="F344" s="45"/>
      <c r="G344" s="21">
        <f>IF($E$1149=1,($L344),IF($E$1149=2,($M344),IF($E$1149=3,($N344),IF($E$1149=4,($O344),IF($E$1149=5,($P344),IF($E$1149=6,($Q344),IF($E$1149=7,($R344),IF($E$1149=8,($S344),0))))))))</f>
        <v>0</v>
      </c>
      <c r="H344" s="48">
        <f>IF($G$1005&lt;&gt;0,($G344)*(H$1005/$G$1005),0)</f>
        <v>0</v>
      </c>
      <c r="I344" s="48">
        <f>IF($G$1005&lt;&gt;0,($G344)*(I$1005/$G$1005),0)</f>
        <v>0</v>
      </c>
      <c r="J344" s="20">
        <f>IF($E$1149=1,($G344),IF($E$1149=2,($G344),IF($E$1149=3,0,IF($E$1149=4,($H344),IF($E$1149=5,($I344),0)))))</f>
        <v>0</v>
      </c>
      <c r="L344" s="21">
        <v>0</v>
      </c>
      <c r="M344" s="21">
        <v>0</v>
      </c>
      <c r="N344" s="21">
        <v>0</v>
      </c>
      <c r="O344" s="21">
        <v>0</v>
      </c>
      <c r="P344" s="21">
        <v>0</v>
      </c>
      <c r="Q344" s="21">
        <v>0</v>
      </c>
      <c r="R344" s="21">
        <v>0</v>
      </c>
      <c r="S344" s="21">
        <v>0</v>
      </c>
    </row>
    <row r="345" spans="1:19" x14ac:dyDescent="0.2">
      <c r="A345" s="13">
        <f t="shared" si="107"/>
        <v>345</v>
      </c>
      <c r="B345" s="4" t="s">
        <v>5</v>
      </c>
      <c r="C345" s="4" t="s">
        <v>191</v>
      </c>
      <c r="D345" s="43"/>
      <c r="E345" s="44" t="s">
        <v>5</v>
      </c>
      <c r="F345" s="45"/>
      <c r="G345" s="46">
        <f t="shared" ref="G345:I345" si="112">SUM(G342:G344)</f>
        <v>0</v>
      </c>
      <c r="H345" s="46">
        <f t="shared" si="112"/>
        <v>0</v>
      </c>
      <c r="I345" s="46">
        <f t="shared" si="112"/>
        <v>0</v>
      </c>
      <c r="J345" s="20">
        <f>IF($E$1149=1,($G345),IF($E$1149=2,($G345),IF($E$1149=3,0,IF($E$1149=4,($H345),IF($E$1149=5,($I345),0)))))</f>
        <v>0</v>
      </c>
      <c r="L345" s="21">
        <v>0</v>
      </c>
      <c r="M345" s="21">
        <v>0</v>
      </c>
      <c r="N345" s="21">
        <v>0</v>
      </c>
      <c r="O345" s="21">
        <v>0</v>
      </c>
      <c r="P345" s="21">
        <v>0</v>
      </c>
      <c r="Q345" s="21">
        <v>0</v>
      </c>
      <c r="R345" s="21">
        <v>0</v>
      </c>
      <c r="S345" s="21">
        <v>0</v>
      </c>
    </row>
    <row r="346" spans="1:19" x14ac:dyDescent="0.2">
      <c r="A346" s="13">
        <f t="shared" si="107"/>
        <v>346</v>
      </c>
      <c r="B346" s="4" t="s">
        <v>5</v>
      </c>
      <c r="C346" s="4" t="s">
        <v>5</v>
      </c>
      <c r="D346" s="43" t="s">
        <v>5</v>
      </c>
      <c r="E346" s="44" t="s">
        <v>5</v>
      </c>
      <c r="F346" s="45"/>
    </row>
    <row r="347" spans="1:19" x14ac:dyDescent="0.2">
      <c r="A347" s="13">
        <f t="shared" si="107"/>
        <v>347</v>
      </c>
      <c r="B347" s="4" t="s">
        <v>192</v>
      </c>
      <c r="C347" s="4"/>
      <c r="D347" s="43" t="s">
        <v>5</v>
      </c>
      <c r="E347" s="44" t="str">
        <f>(E$1041)</f>
        <v>DA451</v>
      </c>
      <c r="F347" s="45"/>
      <c r="G347" s="21">
        <f>IF($E$1149=1,($L347),IF($E$1149=2,($M347),IF($E$1149=3,($N347),IF($E$1149=4,($O347),IF($E$1149=5,($P347),IF($E$1149=6,($Q347),IF($E$1149=7,($R347),IF($E$1149=8,($S347),0))))))))</f>
        <v>4655727</v>
      </c>
      <c r="H347" s="48">
        <f>IF($G$1041&lt;&gt;0,($G347)*(H$1041/$G$1041),0)</f>
        <v>4613049.5592666669</v>
      </c>
      <c r="I347" s="48">
        <f>IF($G$1041&lt;&gt;0,($G347)*(I$1041/$G$1041),0)</f>
        <v>42677.440733332354</v>
      </c>
      <c r="J347" s="20">
        <f t="shared" ref="J347" si="113">IF($E$1149=1,($G347),IF($E$1149=2,($G347),IF($E$1149=3,0,IF($E$1149=4,($H347),IF($E$1149=5,($I347),0)))))</f>
        <v>0</v>
      </c>
      <c r="L347" s="21">
        <v>4655727</v>
      </c>
      <c r="M347" s="21">
        <v>4655727</v>
      </c>
      <c r="N347" s="21">
        <v>4655727</v>
      </c>
      <c r="O347" s="21">
        <v>4655727</v>
      </c>
      <c r="P347" s="21">
        <v>4655727</v>
      </c>
      <c r="Q347" s="21">
        <v>4655727</v>
      </c>
      <c r="R347" s="21">
        <v>4655727</v>
      </c>
      <c r="S347" s="21">
        <v>4655727</v>
      </c>
    </row>
    <row r="348" spans="1:19" x14ac:dyDescent="0.2">
      <c r="A348" s="13">
        <f t="shared" si="107"/>
        <v>348</v>
      </c>
      <c r="B348" s="4" t="s">
        <v>39</v>
      </c>
      <c r="C348" s="4"/>
      <c r="D348" s="43" t="s">
        <v>5</v>
      </c>
      <c r="E348" s="44" t="s">
        <v>5</v>
      </c>
      <c r="F348" s="45"/>
      <c r="L348" s="21">
        <v>0</v>
      </c>
      <c r="M348" s="21">
        <v>0</v>
      </c>
      <c r="N348" s="21">
        <v>0</v>
      </c>
      <c r="O348" s="21">
        <v>0</v>
      </c>
      <c r="P348" s="21">
        <v>0</v>
      </c>
      <c r="Q348" s="21">
        <v>0</v>
      </c>
      <c r="R348" s="21">
        <v>0</v>
      </c>
      <c r="S348" s="21">
        <v>0</v>
      </c>
    </row>
    <row r="349" spans="1:19" x14ac:dyDescent="0.2">
      <c r="A349" s="13">
        <f t="shared" si="107"/>
        <v>349</v>
      </c>
      <c r="B349" s="4" t="s">
        <v>193</v>
      </c>
      <c r="C349" s="4"/>
      <c r="D349" s="43" t="s">
        <v>5</v>
      </c>
      <c r="E349" s="44" t="s">
        <v>5</v>
      </c>
      <c r="F349" s="45"/>
      <c r="L349" s="21">
        <v>0</v>
      </c>
      <c r="M349" s="21">
        <v>0</v>
      </c>
      <c r="N349" s="21">
        <v>0</v>
      </c>
      <c r="O349" s="21">
        <v>0</v>
      </c>
      <c r="P349" s="21">
        <v>0</v>
      </c>
      <c r="Q349" s="21">
        <v>0</v>
      </c>
      <c r="R349" s="21">
        <v>0</v>
      </c>
      <c r="S349" s="21">
        <v>0</v>
      </c>
    </row>
    <row r="350" spans="1:19" x14ac:dyDescent="0.2">
      <c r="A350" s="13">
        <f t="shared" si="107"/>
        <v>350</v>
      </c>
      <c r="B350" s="4" t="s">
        <v>194</v>
      </c>
      <c r="C350" s="4"/>
      <c r="D350" s="43" t="s">
        <v>508</v>
      </c>
      <c r="E350" s="44">
        <f>A121</f>
        <v>121</v>
      </c>
      <c r="F350" s="45"/>
      <c r="G350" s="21">
        <f t="shared" ref="G350:G358" si="114">IF($E$1149=1,($L350),IF($E$1149=2,($M350),IF($E$1149=3,($N350),IF($E$1149=4,($O350),IF($E$1149=5,($P350),IF($E$1149=6,($Q350),IF($E$1149=7,($R350),IF($E$1149=8,($S350),0))))))))</f>
        <v>3197878</v>
      </c>
      <c r="H350" s="48">
        <f t="shared" ref="H350:I350" si="115">IF($G$121&lt;&gt;0,($G350)*(H$121/$G$121),0)</f>
        <v>3070206.7178515824</v>
      </c>
      <c r="I350" s="48">
        <f t="shared" si="115"/>
        <v>127671.28214841818</v>
      </c>
      <c r="J350" s="20">
        <f t="shared" ref="J350:J359" si="116">IF($E$1149=1,($G350),IF($E$1149=2,($G350),IF($E$1149=3,0,IF($E$1149=4,($H350),IF($E$1149=5,($I350),0)))))</f>
        <v>0</v>
      </c>
      <c r="L350" s="21">
        <v>3197878</v>
      </c>
      <c r="M350" s="21">
        <v>3197878</v>
      </c>
      <c r="N350" s="21">
        <v>3197878</v>
      </c>
      <c r="O350" s="21">
        <v>3197878</v>
      </c>
      <c r="P350" s="21">
        <v>3197878</v>
      </c>
      <c r="Q350" s="21">
        <v>3197878</v>
      </c>
      <c r="R350" s="21">
        <v>3197878</v>
      </c>
      <c r="S350" s="21">
        <v>3197878</v>
      </c>
    </row>
    <row r="351" spans="1:19" x14ac:dyDescent="0.2">
      <c r="A351" s="13">
        <f t="shared" si="107"/>
        <v>351</v>
      </c>
      <c r="B351" s="4" t="s">
        <v>195</v>
      </c>
      <c r="C351" s="4"/>
      <c r="D351" s="43"/>
      <c r="E351" s="44" t="str">
        <f>(E$1005)</f>
        <v>D11</v>
      </c>
      <c r="F351" s="45"/>
      <c r="G351" s="21">
        <f t="shared" si="114"/>
        <v>17330</v>
      </c>
      <c r="H351" s="48">
        <f>IF($G$1005&lt;&gt;0,($G351)*(H$1005/$G$1005),0)</f>
        <v>16639.329896077488</v>
      </c>
      <c r="I351" s="48">
        <f>IF($G$1005&lt;&gt;0,($G351)*(I$1005/$G$1005),0)</f>
        <v>690.67010392251404</v>
      </c>
      <c r="J351" s="20">
        <f t="shared" si="116"/>
        <v>0</v>
      </c>
      <c r="L351" s="21">
        <v>17330</v>
      </c>
      <c r="M351" s="21">
        <v>17330</v>
      </c>
      <c r="N351" s="21">
        <v>17330</v>
      </c>
      <c r="O351" s="21">
        <v>17330</v>
      </c>
      <c r="P351" s="21">
        <v>17330</v>
      </c>
      <c r="Q351" s="21">
        <v>17330</v>
      </c>
      <c r="R351" s="21">
        <v>17330</v>
      </c>
      <c r="S351" s="21">
        <v>17330</v>
      </c>
    </row>
    <row r="352" spans="1:19" x14ac:dyDescent="0.2">
      <c r="A352" s="13">
        <f t="shared" si="107"/>
        <v>352</v>
      </c>
      <c r="B352" s="4" t="s">
        <v>196</v>
      </c>
      <c r="C352" s="4"/>
      <c r="D352" s="43" t="s">
        <v>5</v>
      </c>
      <c r="E352" s="44" t="str">
        <f>(E$1005)</f>
        <v>D11</v>
      </c>
      <c r="F352" s="45"/>
      <c r="G352" s="21">
        <f t="shared" si="114"/>
        <v>0</v>
      </c>
      <c r="H352" s="48">
        <f>IF($G$1005&lt;&gt;0,($G352)*(H$1005/$G$1005),0)</f>
        <v>0</v>
      </c>
      <c r="I352" s="48">
        <f>IF($G$1005&lt;&gt;0,($G352)*(I$1005/$G$1005),0)</f>
        <v>0</v>
      </c>
      <c r="J352" s="20">
        <f t="shared" si="116"/>
        <v>0</v>
      </c>
      <c r="L352" s="21">
        <v>0</v>
      </c>
      <c r="M352" s="21">
        <v>0</v>
      </c>
      <c r="N352" s="21">
        <v>0</v>
      </c>
      <c r="O352" s="21">
        <v>0</v>
      </c>
      <c r="P352" s="21">
        <v>0</v>
      </c>
      <c r="Q352" s="21">
        <v>0</v>
      </c>
      <c r="R352" s="21">
        <v>0</v>
      </c>
      <c r="S352" s="21">
        <v>0</v>
      </c>
    </row>
    <row r="353" spans="1:19" x14ac:dyDescent="0.2">
      <c r="A353" s="13">
        <f t="shared" si="107"/>
        <v>353</v>
      </c>
      <c r="B353" s="4" t="s">
        <v>197</v>
      </c>
      <c r="C353" s="4"/>
      <c r="D353" s="43" t="s">
        <v>508</v>
      </c>
      <c r="E353" s="44">
        <f>A488</f>
        <v>488</v>
      </c>
      <c r="F353" s="45"/>
      <c r="G353" s="21">
        <f t="shared" si="114"/>
        <v>1759236</v>
      </c>
      <c r="H353" s="48">
        <f>IF($G$488&lt;&gt;0,($G353)*(H$488/$G$488),0)</f>
        <v>1681508.2815679072</v>
      </c>
      <c r="I353" s="48">
        <f>IF($G$488&lt;&gt;0,($G353)*(I$488/$G$488),0)</f>
        <v>77727.718432092792</v>
      </c>
      <c r="J353" s="20">
        <f t="shared" si="116"/>
        <v>0</v>
      </c>
      <c r="L353" s="21">
        <v>1759236</v>
      </c>
      <c r="M353" s="21">
        <v>1759236</v>
      </c>
      <c r="N353" s="21">
        <v>1759236</v>
      </c>
      <c r="O353" s="21">
        <v>1759236</v>
      </c>
      <c r="P353" s="21">
        <v>1759236</v>
      </c>
      <c r="Q353" s="21">
        <v>1759236</v>
      </c>
      <c r="R353" s="21">
        <v>1759236</v>
      </c>
      <c r="S353" s="21">
        <v>1759236</v>
      </c>
    </row>
    <row r="354" spans="1:19" x14ac:dyDescent="0.2">
      <c r="A354" s="13">
        <f t="shared" si="107"/>
        <v>354</v>
      </c>
      <c r="B354" s="4" t="s">
        <v>198</v>
      </c>
      <c r="C354" s="4"/>
      <c r="D354" s="43" t="s">
        <v>5</v>
      </c>
      <c r="E354" s="44" t="str">
        <f>(E$1049)</f>
        <v>CIDA</v>
      </c>
      <c r="F354" s="45"/>
      <c r="G354" s="21">
        <f t="shared" si="114"/>
        <v>400000.12</v>
      </c>
      <c r="H354" s="48">
        <f>IF($G$1049&lt;&gt;0,($G354)*(H$1049/$G$1049),0)</f>
        <v>400000.12</v>
      </c>
      <c r="I354" s="48">
        <f>IF($G$1049&lt;&gt;0,($G354)*(I$1049/$G$1049),0)</f>
        <v>0</v>
      </c>
      <c r="J354" s="20">
        <f t="shared" si="116"/>
        <v>0</v>
      </c>
      <c r="L354" s="21">
        <v>400000.12</v>
      </c>
      <c r="M354" s="21">
        <v>400000.12</v>
      </c>
      <c r="N354" s="21">
        <v>400000.12</v>
      </c>
      <c r="O354" s="21">
        <v>400000.12</v>
      </c>
      <c r="P354" s="21">
        <v>400000.12</v>
      </c>
      <c r="Q354" s="21">
        <v>400000.12</v>
      </c>
      <c r="R354" s="21">
        <v>400000.12</v>
      </c>
      <c r="S354" s="21">
        <v>400000.12</v>
      </c>
    </row>
    <row r="355" spans="1:19" x14ac:dyDescent="0.2">
      <c r="A355" s="13">
        <f t="shared" si="107"/>
        <v>355</v>
      </c>
      <c r="B355" s="4" t="s">
        <v>199</v>
      </c>
      <c r="C355" s="4"/>
      <c r="D355" s="43" t="s">
        <v>508</v>
      </c>
      <c r="E355" s="44">
        <f>A152</f>
        <v>152</v>
      </c>
      <c r="F355" s="45"/>
      <c r="G355" s="21">
        <f t="shared" si="114"/>
        <v>1702971</v>
      </c>
      <c r="H355" s="48">
        <f>IF($G152&lt;&gt;0,($G355)*(H152/$G152),0)</f>
        <v>1566262.9741224218</v>
      </c>
      <c r="I355" s="48">
        <f>IF($G152&lt;&gt;0,($G355)*(I152/$G152),0)</f>
        <v>136708.02587757848</v>
      </c>
      <c r="J355" s="20">
        <f t="shared" si="116"/>
        <v>0</v>
      </c>
      <c r="L355" s="21">
        <v>1702971</v>
      </c>
      <c r="M355" s="21">
        <v>1702971</v>
      </c>
      <c r="N355" s="21">
        <v>1702971</v>
      </c>
      <c r="O355" s="21">
        <v>1702971</v>
      </c>
      <c r="P355" s="21">
        <v>1702971</v>
      </c>
      <c r="Q355" s="21">
        <v>1702971</v>
      </c>
      <c r="R355" s="21">
        <v>1702971</v>
      </c>
      <c r="S355" s="21">
        <v>1702971</v>
      </c>
    </row>
    <row r="356" spans="1:19" x14ac:dyDescent="0.2">
      <c r="A356" s="13">
        <f t="shared" si="107"/>
        <v>356</v>
      </c>
      <c r="B356" s="4" t="s">
        <v>200</v>
      </c>
      <c r="C356" s="4"/>
      <c r="D356" s="43" t="s">
        <v>5</v>
      </c>
      <c r="E356" s="44" t="str">
        <f>(E$1042)</f>
        <v>DA454</v>
      </c>
      <c r="F356" s="45"/>
      <c r="G356" s="21">
        <f t="shared" si="114"/>
        <v>10122952</v>
      </c>
      <c r="H356" s="48">
        <f>IF($G$1042&lt;&gt;0,($G356)*(H$1042/$G$1042),0)</f>
        <v>9709513.3091831673</v>
      </c>
      <c r="I356" s="48">
        <f>IF($G$1042&lt;&gt;0,($G356)*(I$1042/$G$1042),0)</f>
        <v>413438.69081683428</v>
      </c>
      <c r="J356" s="20">
        <f t="shared" si="116"/>
        <v>0</v>
      </c>
      <c r="L356" s="21">
        <v>10122952</v>
      </c>
      <c r="M356" s="21">
        <v>10122952</v>
      </c>
      <c r="N356" s="21">
        <v>10122952</v>
      </c>
      <c r="O356" s="21">
        <v>10122952</v>
      </c>
      <c r="P356" s="21">
        <v>10122952</v>
      </c>
      <c r="Q356" s="21">
        <v>10122952</v>
      </c>
      <c r="R356" s="21">
        <v>10122952</v>
      </c>
      <c r="S356" s="21">
        <v>10122952</v>
      </c>
    </row>
    <row r="357" spans="1:19" x14ac:dyDescent="0.2">
      <c r="A357" s="13">
        <f t="shared" si="107"/>
        <v>357</v>
      </c>
      <c r="B357" s="4" t="s">
        <v>201</v>
      </c>
      <c r="C357" s="4"/>
      <c r="D357" s="43" t="s">
        <v>508</v>
      </c>
      <c r="E357" s="44">
        <f>A101</f>
        <v>101</v>
      </c>
      <c r="F357" s="45"/>
      <c r="G357" s="21">
        <f t="shared" si="114"/>
        <v>1120886</v>
      </c>
      <c r="H357" s="48">
        <f>IF($G$101&lt;&gt;0,($G357)*(H$101/$G$101),0)</f>
        <v>1076214.1909921933</v>
      </c>
      <c r="I357" s="48">
        <f>IF($G$101&lt;&gt;0,($G357)*(I$101/$G$101),0)</f>
        <v>44671.809007806754</v>
      </c>
      <c r="J357" s="20">
        <f t="shared" si="116"/>
        <v>0</v>
      </c>
      <c r="L357" s="21">
        <v>1120886</v>
      </c>
      <c r="M357" s="21">
        <v>1120886</v>
      </c>
      <c r="N357" s="21">
        <v>1120886</v>
      </c>
      <c r="O357" s="21">
        <v>1120886</v>
      </c>
      <c r="P357" s="21">
        <v>1120886</v>
      </c>
      <c r="Q357" s="21">
        <v>1120886</v>
      </c>
      <c r="R357" s="21">
        <v>1120886</v>
      </c>
      <c r="S357" s="21">
        <v>1120886</v>
      </c>
    </row>
    <row r="358" spans="1:19" x14ac:dyDescent="0.2">
      <c r="A358" s="13">
        <f t="shared" si="107"/>
        <v>358</v>
      </c>
      <c r="B358" s="4" t="s">
        <v>202</v>
      </c>
      <c r="C358" s="4"/>
      <c r="D358" s="43"/>
      <c r="E358" s="44" t="str">
        <f>E$1010</f>
        <v>E10</v>
      </c>
      <c r="F358" s="45"/>
      <c r="G358" s="21">
        <f t="shared" si="114"/>
        <v>63369</v>
      </c>
      <c r="H358" s="48">
        <f>IF($G$1010&lt;&gt;0,($G358)*(H$1010/$G$1010),0)</f>
        <v>60569.189292782045</v>
      </c>
      <c r="I358" s="48">
        <f>IF($G$1010&lt;&gt;0,($G358)*(I$1010/$G$1010),0)</f>
        <v>2799.810707217956</v>
      </c>
      <c r="J358" s="20">
        <f t="shared" si="116"/>
        <v>0</v>
      </c>
      <c r="L358" s="21">
        <v>63369</v>
      </c>
      <c r="M358" s="21">
        <v>63369</v>
      </c>
      <c r="N358" s="21">
        <v>63369</v>
      </c>
      <c r="O358" s="21">
        <v>63369</v>
      </c>
      <c r="P358" s="21">
        <v>63369</v>
      </c>
      <c r="Q358" s="21">
        <v>63369</v>
      </c>
      <c r="R358" s="21">
        <v>63369</v>
      </c>
      <c r="S358" s="21">
        <v>63369</v>
      </c>
    </row>
    <row r="359" spans="1:19" x14ac:dyDescent="0.2">
      <c r="A359" s="13">
        <f t="shared" si="107"/>
        <v>359</v>
      </c>
      <c r="B359" s="4" t="s">
        <v>5</v>
      </c>
      <c r="C359" s="4" t="s">
        <v>203</v>
      </c>
      <c r="D359" s="43" t="s">
        <v>5</v>
      </c>
      <c r="E359" s="44" t="s">
        <v>5</v>
      </c>
      <c r="F359" s="45"/>
      <c r="G359" s="46">
        <f>SUM(G350:G358)</f>
        <v>18384622.120000001</v>
      </c>
      <c r="H359" s="46">
        <f t="shared" ref="H359:I359" si="117">SUM(H350:H358)</f>
        <v>17580914.112906128</v>
      </c>
      <c r="I359" s="46">
        <f t="shared" si="117"/>
        <v>803708.00709387101</v>
      </c>
      <c r="J359" s="20">
        <f t="shared" si="116"/>
        <v>0</v>
      </c>
      <c r="L359" s="21">
        <v>0</v>
      </c>
      <c r="M359" s="21">
        <v>0</v>
      </c>
      <c r="N359" s="21">
        <v>0</v>
      </c>
      <c r="O359" s="21">
        <v>0</v>
      </c>
      <c r="P359" s="21">
        <v>0</v>
      </c>
      <c r="Q359" s="21">
        <v>0</v>
      </c>
      <c r="R359" s="21">
        <v>0</v>
      </c>
      <c r="S359" s="21">
        <v>0</v>
      </c>
    </row>
    <row r="360" spans="1:19" x14ac:dyDescent="0.2">
      <c r="A360" s="13">
        <f t="shared" si="107"/>
        <v>360</v>
      </c>
      <c r="B360" s="4"/>
      <c r="C360" s="4"/>
      <c r="D360" s="43" t="s">
        <v>5</v>
      </c>
      <c r="E360" s="44" t="s">
        <v>5</v>
      </c>
      <c r="F360" s="45"/>
      <c r="L360" s="21">
        <v>0</v>
      </c>
      <c r="M360" s="21">
        <v>0</v>
      </c>
      <c r="N360" s="21">
        <v>0</v>
      </c>
      <c r="O360" s="21">
        <v>0</v>
      </c>
      <c r="P360" s="21">
        <v>0</v>
      </c>
      <c r="Q360" s="21">
        <v>0</v>
      </c>
      <c r="R360" s="21">
        <v>0</v>
      </c>
      <c r="S360" s="21">
        <v>0</v>
      </c>
    </row>
    <row r="361" spans="1:19" x14ac:dyDescent="0.2">
      <c r="A361" s="13">
        <f t="shared" si="107"/>
        <v>361</v>
      </c>
      <c r="B361" s="4" t="s">
        <v>204</v>
      </c>
      <c r="C361" s="4"/>
      <c r="D361" s="43" t="s">
        <v>5</v>
      </c>
      <c r="E361" s="44" t="s">
        <v>5</v>
      </c>
      <c r="F361" s="45"/>
      <c r="L361" s="21">
        <v>0</v>
      </c>
      <c r="M361" s="21">
        <v>0</v>
      </c>
      <c r="N361" s="21">
        <v>0</v>
      </c>
      <c r="O361" s="21">
        <v>0</v>
      </c>
      <c r="P361" s="21">
        <v>0</v>
      </c>
      <c r="Q361" s="21">
        <v>0</v>
      </c>
      <c r="R361" s="21">
        <v>0</v>
      </c>
      <c r="S361" s="21">
        <v>0</v>
      </c>
    </row>
    <row r="362" spans="1:19" x14ac:dyDescent="0.2">
      <c r="A362" s="13">
        <f t="shared" si="107"/>
        <v>362</v>
      </c>
      <c r="B362" s="4" t="s">
        <v>205</v>
      </c>
      <c r="C362" s="4"/>
      <c r="D362" s="43" t="s">
        <v>5</v>
      </c>
      <c r="E362" s="44" t="str">
        <f>(E$1005)</f>
        <v>D11</v>
      </c>
      <c r="F362" s="45"/>
      <c r="G362" s="21">
        <f t="shared" ref="G362:G372" si="118">IF($E$1149=1,($L362),IF($E$1149=2,($M362),IF($E$1149=3,($N362),IF($E$1149=4,($O362),IF($E$1149=5,($P362),IF($E$1149=6,($Q362),IF($E$1149=7,($R362),IF($E$1149=8,($S362),0))))))))</f>
        <v>9867184</v>
      </c>
      <c r="H362" s="48">
        <f>IF($G$1005&lt;&gt;0,($G362)*(H$1005/$G$1005),0)</f>
        <v>9473937.0872070082</v>
      </c>
      <c r="I362" s="48">
        <f>IF($G$1005&lt;&gt;0,($G362)*(I$1005/$G$1005),0)</f>
        <v>393246.91279299289</v>
      </c>
      <c r="J362" s="20">
        <f t="shared" ref="J362" si="119">IF($E$1149=1,($G362),IF($E$1149=2,($G362),IF($E$1149=3,0,IF($E$1149=4,($H362),IF($E$1149=5,($I362),0)))))</f>
        <v>0</v>
      </c>
      <c r="L362" s="21">
        <v>9867184</v>
      </c>
      <c r="M362" s="21">
        <v>9867184</v>
      </c>
      <c r="N362" s="21">
        <v>9867184</v>
      </c>
      <c r="O362" s="21">
        <v>9867184</v>
      </c>
      <c r="P362" s="21">
        <v>9867184</v>
      </c>
      <c r="Q362" s="21">
        <v>9867184</v>
      </c>
      <c r="R362" s="21">
        <v>9867184</v>
      </c>
      <c r="S362" s="21">
        <v>9867184</v>
      </c>
    </row>
    <row r="363" spans="1:19" x14ac:dyDescent="0.2">
      <c r="A363" s="13">
        <f t="shared" si="107"/>
        <v>363</v>
      </c>
      <c r="B363" s="3" t="s">
        <v>206</v>
      </c>
      <c r="C363" s="4"/>
      <c r="D363" s="43"/>
      <c r="E363" s="44" t="str">
        <f>E1007</f>
        <v>D60</v>
      </c>
      <c r="F363" s="45"/>
      <c r="G363" s="21">
        <f t="shared" si="118"/>
        <v>804040</v>
      </c>
      <c r="H363" s="48">
        <f>IF($G$1007&lt;&gt;0,($G363)*(H$1007/$G$1007),0)</f>
        <v>774575.53604371462</v>
      </c>
      <c r="I363" s="48">
        <f>IF($G$1007&lt;&gt;0,($G363)*(I$1007/$G$1007),0)</f>
        <v>29464.463956285406</v>
      </c>
      <c r="L363" s="21">
        <v>804040</v>
      </c>
      <c r="M363" s="21">
        <v>804040</v>
      </c>
      <c r="N363" s="21">
        <v>804040</v>
      </c>
      <c r="O363" s="21">
        <v>804040</v>
      </c>
      <c r="P363" s="21">
        <v>804040</v>
      </c>
      <c r="Q363" s="21">
        <v>804040</v>
      </c>
      <c r="R363" s="21">
        <v>804040</v>
      </c>
      <c r="S363" s="21">
        <v>804040</v>
      </c>
    </row>
    <row r="364" spans="1:19" x14ac:dyDescent="0.2">
      <c r="A364" s="13">
        <f t="shared" si="107"/>
        <v>364</v>
      </c>
      <c r="B364" s="4" t="s">
        <v>207</v>
      </c>
      <c r="C364" s="4"/>
      <c r="D364" s="43" t="s">
        <v>5</v>
      </c>
      <c r="E364" s="44" t="str">
        <f>(E$1005)</f>
        <v>D11</v>
      </c>
      <c r="F364" s="45"/>
      <c r="G364" s="21">
        <f t="shared" si="118"/>
        <v>44253546</v>
      </c>
      <c r="H364" s="48">
        <f>IF($G$1005&lt;&gt;0,($G364)*(H$1005/$G$1005),0)</f>
        <v>42489864.452697076</v>
      </c>
      <c r="I364" s="48">
        <f>IF($G$1005&lt;&gt;0,($G364)*(I$1005/$G$1005),0)</f>
        <v>1763681.5473029288</v>
      </c>
      <c r="J364" s="20">
        <f t="shared" ref="J364:J373" si="120">IF($E$1149=1,($G364),IF($E$1149=2,($G364),IF($E$1149=3,0,IF($E$1149=4,($H364),IF($E$1149=5,($I364),0)))))</f>
        <v>0</v>
      </c>
      <c r="L364" s="21">
        <v>44253546</v>
      </c>
      <c r="M364" s="21">
        <v>44253546</v>
      </c>
      <c r="N364" s="21">
        <v>44253546</v>
      </c>
      <c r="O364" s="21">
        <v>44253546</v>
      </c>
      <c r="P364" s="21">
        <v>44253546</v>
      </c>
      <c r="Q364" s="21">
        <v>44253546</v>
      </c>
      <c r="R364" s="21">
        <v>44253546</v>
      </c>
      <c r="S364" s="21">
        <v>44253546</v>
      </c>
    </row>
    <row r="365" spans="1:19" x14ac:dyDescent="0.2">
      <c r="A365" s="13">
        <f t="shared" si="107"/>
        <v>365</v>
      </c>
      <c r="B365" s="4" t="s">
        <v>208</v>
      </c>
      <c r="C365" s="4"/>
      <c r="D365" s="43" t="s">
        <v>508</v>
      </c>
      <c r="E365" s="44">
        <f>A144</f>
        <v>144</v>
      </c>
      <c r="F365" s="45"/>
      <c r="G365" s="21">
        <f t="shared" si="118"/>
        <v>0</v>
      </c>
      <c r="H365" s="48">
        <f t="shared" ref="H365:I365" si="121">IF($G$144&lt;&gt;0,($G365)*(H$144/$G$144),0)</f>
        <v>0</v>
      </c>
      <c r="I365" s="48">
        <f t="shared" si="121"/>
        <v>0</v>
      </c>
      <c r="J365" s="20">
        <f t="shared" si="120"/>
        <v>0</v>
      </c>
      <c r="L365" s="21">
        <v>0</v>
      </c>
      <c r="M365" s="21">
        <v>0</v>
      </c>
      <c r="N365" s="21">
        <v>0</v>
      </c>
      <c r="O365" s="21">
        <v>0</v>
      </c>
      <c r="P365" s="21">
        <v>0</v>
      </c>
      <c r="Q365" s="21">
        <v>0</v>
      </c>
      <c r="R365" s="21">
        <v>0</v>
      </c>
      <c r="S365" s="21">
        <v>0</v>
      </c>
    </row>
    <row r="366" spans="1:19" x14ac:dyDescent="0.2">
      <c r="A366" s="13">
        <f t="shared" si="107"/>
        <v>366</v>
      </c>
      <c r="B366" s="4" t="s">
        <v>209</v>
      </c>
      <c r="C366" s="4"/>
      <c r="D366" s="43" t="s">
        <v>508</v>
      </c>
      <c r="E366" s="44">
        <f>A162</f>
        <v>162</v>
      </c>
      <c r="F366" s="45"/>
      <c r="G366" s="21">
        <f t="shared" si="118"/>
        <v>0</v>
      </c>
      <c r="H366" s="48">
        <f t="shared" ref="H366:I366" si="122">IF($G$162&lt;&gt;0,($G366)*(H$162/$G$162),0)</f>
        <v>0</v>
      </c>
      <c r="I366" s="48">
        <f t="shared" si="122"/>
        <v>0</v>
      </c>
      <c r="J366" s="20">
        <f t="shared" si="120"/>
        <v>0</v>
      </c>
      <c r="L366" s="21">
        <v>0</v>
      </c>
      <c r="M366" s="21">
        <v>0</v>
      </c>
      <c r="N366" s="21">
        <v>0</v>
      </c>
      <c r="O366" s="21">
        <v>0</v>
      </c>
      <c r="P366" s="21">
        <v>0</v>
      </c>
      <c r="Q366" s="21">
        <v>0</v>
      </c>
      <c r="R366" s="21">
        <v>0</v>
      </c>
      <c r="S366" s="21">
        <v>0</v>
      </c>
    </row>
    <row r="367" spans="1:19" x14ac:dyDescent="0.2">
      <c r="A367" s="13">
        <f t="shared" si="107"/>
        <v>367</v>
      </c>
      <c r="B367" s="4" t="s">
        <v>210</v>
      </c>
      <c r="C367" s="4"/>
      <c r="D367" s="43" t="s">
        <v>5</v>
      </c>
      <c r="E367" s="44" t="str">
        <f>(E$1046)</f>
        <v>DARIDER</v>
      </c>
      <c r="F367" s="45"/>
      <c r="G367" s="21">
        <f t="shared" si="118"/>
        <v>0</v>
      </c>
      <c r="H367" s="48">
        <f>IF($G$1046&lt;&gt;0,($G367)*(H$1046/$G$1046),0)</f>
        <v>0</v>
      </c>
      <c r="I367" s="48">
        <f>IF($G$1046&lt;&gt;0,($G367)*(I$1046/$G$1046),0)</f>
        <v>0</v>
      </c>
      <c r="J367" s="20">
        <f t="shared" si="120"/>
        <v>0</v>
      </c>
      <c r="L367" s="21">
        <v>29920448.190000001</v>
      </c>
      <c r="M367" s="21">
        <v>0</v>
      </c>
      <c r="N367" s="21">
        <v>0</v>
      </c>
      <c r="O367" s="21">
        <v>0</v>
      </c>
      <c r="P367" s="21">
        <v>29920448.190000001</v>
      </c>
      <c r="Q367" s="21">
        <v>0</v>
      </c>
      <c r="R367" s="21">
        <v>0</v>
      </c>
      <c r="S367" s="21">
        <v>0</v>
      </c>
    </row>
    <row r="368" spans="1:19" x14ac:dyDescent="0.2">
      <c r="A368" s="13">
        <f t="shared" si="107"/>
        <v>368</v>
      </c>
      <c r="B368" s="4" t="s">
        <v>211</v>
      </c>
      <c r="C368" s="4"/>
      <c r="D368" s="43" t="s">
        <v>5</v>
      </c>
      <c r="E368" s="44" t="str">
        <f>(E$1049)</f>
        <v>CIDA</v>
      </c>
      <c r="F368" s="45"/>
      <c r="G368" s="21">
        <f t="shared" si="118"/>
        <v>751542</v>
      </c>
      <c r="H368" s="48">
        <f>IF($G$1049&lt;&gt;0,($G368)*(H$1049/$G$1049),0)</f>
        <v>751542</v>
      </c>
      <c r="I368" s="48">
        <f>IF($G$1049&lt;&gt;0,($G368)*(I$1049/$G$1049),0)</f>
        <v>0</v>
      </c>
      <c r="J368" s="20">
        <f t="shared" si="120"/>
        <v>0</v>
      </c>
      <c r="L368" s="21">
        <v>751542</v>
      </c>
      <c r="M368" s="21">
        <v>751542</v>
      </c>
      <c r="N368" s="21">
        <v>751542</v>
      </c>
      <c r="O368" s="21">
        <v>751542</v>
      </c>
      <c r="P368" s="21">
        <v>751542</v>
      </c>
      <c r="Q368" s="21">
        <v>751542</v>
      </c>
      <c r="R368" s="21">
        <v>751542</v>
      </c>
      <c r="S368" s="21">
        <v>751542</v>
      </c>
    </row>
    <row r="369" spans="1:19" x14ac:dyDescent="0.2">
      <c r="A369" s="13">
        <f t="shared" si="107"/>
        <v>369</v>
      </c>
      <c r="B369" s="4" t="s">
        <v>212</v>
      </c>
      <c r="C369" s="4"/>
      <c r="D369" s="43" t="s">
        <v>5</v>
      </c>
      <c r="E369" s="44" t="str">
        <f>(E$1010)</f>
        <v>E10</v>
      </c>
      <c r="F369" s="45"/>
      <c r="G369" s="21">
        <f t="shared" si="118"/>
        <v>49550</v>
      </c>
      <c r="H369" s="48">
        <f>IF($G$1010&lt;&gt;0,($G369)*(H$1010/$G$1010),0)</f>
        <v>47360.74941150011</v>
      </c>
      <c r="I369" s="48">
        <f>IF($G$1010&lt;&gt;0,($G369)*(I$1010/$G$1010),0)</f>
        <v>2189.2505884998927</v>
      </c>
      <c r="J369" s="20">
        <f t="shared" si="120"/>
        <v>0</v>
      </c>
      <c r="L369" s="21">
        <v>49550</v>
      </c>
      <c r="M369" s="21">
        <v>49550</v>
      </c>
      <c r="N369" s="21">
        <v>49550</v>
      </c>
      <c r="O369" s="21">
        <v>49550</v>
      </c>
      <c r="P369" s="21">
        <v>49550</v>
      </c>
      <c r="Q369" s="21">
        <v>49550</v>
      </c>
      <c r="R369" s="21">
        <v>49550</v>
      </c>
      <c r="S369" s="21">
        <v>49550</v>
      </c>
    </row>
    <row r="370" spans="1:19" x14ac:dyDescent="0.2">
      <c r="A370" s="13">
        <f t="shared" si="107"/>
        <v>370</v>
      </c>
      <c r="B370" s="4" t="s">
        <v>213</v>
      </c>
      <c r="C370" s="4"/>
      <c r="D370" s="43" t="s">
        <v>5</v>
      </c>
      <c r="E370" s="44" t="str">
        <f>(E$1004)</f>
        <v>D10</v>
      </c>
      <c r="F370" s="45"/>
      <c r="G370" s="21">
        <f t="shared" si="118"/>
        <v>0</v>
      </c>
      <c r="H370" s="48">
        <f>IF($G$1004&lt;&gt;0,($G370)*(H$1004/$G$1004),0)</f>
        <v>0</v>
      </c>
      <c r="I370" s="48">
        <f>IF($G$1004&lt;&gt;0,($G370)*(I$1004/$G$1004),0)</f>
        <v>0</v>
      </c>
      <c r="J370" s="20">
        <f t="shared" si="120"/>
        <v>0</v>
      </c>
      <c r="L370" s="21">
        <v>0</v>
      </c>
      <c r="M370" s="21">
        <v>0</v>
      </c>
      <c r="N370" s="21">
        <v>0</v>
      </c>
      <c r="O370" s="21">
        <v>0</v>
      </c>
      <c r="P370" s="21">
        <v>0</v>
      </c>
      <c r="Q370" s="21">
        <v>0</v>
      </c>
      <c r="R370" s="21">
        <v>0</v>
      </c>
      <c r="S370" s="21">
        <v>0</v>
      </c>
    </row>
    <row r="371" spans="1:19" x14ac:dyDescent="0.2">
      <c r="A371" s="13">
        <f t="shared" si="107"/>
        <v>371</v>
      </c>
      <c r="B371" s="4" t="s">
        <v>214</v>
      </c>
      <c r="C371" s="4"/>
      <c r="D371" s="43" t="s">
        <v>508</v>
      </c>
      <c r="E371" s="44">
        <f>A513</f>
        <v>513</v>
      </c>
      <c r="F371" s="45"/>
      <c r="G371" s="21">
        <f t="shared" si="118"/>
        <v>0</v>
      </c>
      <c r="H371" s="48">
        <f>IF($G$513&lt;&gt;0,($G371)*(H$513/$G$513),0)</f>
        <v>0</v>
      </c>
      <c r="I371" s="48">
        <f>IF($G$513&lt;&gt;0,($G371)*(I$513/$G$513),0)</f>
        <v>0</v>
      </c>
      <c r="J371" s="20">
        <f t="shared" si="120"/>
        <v>0</v>
      </c>
      <c r="L371" s="21">
        <v>0</v>
      </c>
      <c r="M371" s="21">
        <v>0</v>
      </c>
      <c r="N371" s="21">
        <v>0</v>
      </c>
      <c r="O371" s="21">
        <v>0</v>
      </c>
      <c r="P371" s="21">
        <v>0</v>
      </c>
      <c r="Q371" s="21">
        <v>0</v>
      </c>
      <c r="R371" s="21">
        <v>0</v>
      </c>
      <c r="S371" s="21">
        <v>0</v>
      </c>
    </row>
    <row r="372" spans="1:19" x14ac:dyDescent="0.2">
      <c r="A372" s="13">
        <f t="shared" si="107"/>
        <v>372</v>
      </c>
      <c r="B372" s="4" t="s">
        <v>215</v>
      </c>
      <c r="C372" s="4"/>
      <c r="D372" s="43" t="s">
        <v>5</v>
      </c>
      <c r="E372" s="44" t="str">
        <f>(E$1055)</f>
        <v>PTD</v>
      </c>
      <c r="F372" s="45"/>
      <c r="G372" s="21">
        <f t="shared" si="118"/>
        <v>1318</v>
      </c>
      <c r="H372" s="48">
        <f>IF($G$1055&lt;&gt;0,($G372)*(H$1055/$G$1055),0)</f>
        <v>1264.2533137472292</v>
      </c>
      <c r="I372" s="48">
        <f>IF($G$1055&lt;&gt;0,($G372)*(I$1055/$G$1055),0)</f>
        <v>53.746686252771028</v>
      </c>
      <c r="J372" s="20">
        <f t="shared" si="120"/>
        <v>0</v>
      </c>
      <c r="L372" s="21">
        <v>1318</v>
      </c>
      <c r="M372" s="21">
        <v>1318</v>
      </c>
      <c r="N372" s="21">
        <v>1318</v>
      </c>
      <c r="O372" s="21">
        <v>1318</v>
      </c>
      <c r="P372" s="21">
        <v>1318</v>
      </c>
      <c r="Q372" s="21">
        <v>1318</v>
      </c>
      <c r="R372" s="21">
        <v>1318</v>
      </c>
      <c r="S372" s="21">
        <v>1318</v>
      </c>
    </row>
    <row r="373" spans="1:19" x14ac:dyDescent="0.2">
      <c r="A373" s="13">
        <f t="shared" si="107"/>
        <v>373</v>
      </c>
      <c r="B373" s="4" t="s">
        <v>5</v>
      </c>
      <c r="C373" s="4" t="s">
        <v>216</v>
      </c>
      <c r="D373" s="43" t="s">
        <v>5</v>
      </c>
      <c r="E373" s="44" t="s">
        <v>5</v>
      </c>
      <c r="F373" s="45"/>
      <c r="G373" s="46">
        <f t="shared" ref="G373:I373" si="123">SUM(G362:G372)</f>
        <v>55727180</v>
      </c>
      <c r="H373" s="46">
        <f t="shared" si="123"/>
        <v>53538544.07867305</v>
      </c>
      <c r="I373" s="46">
        <f t="shared" si="123"/>
        <v>2188635.9213269595</v>
      </c>
      <c r="J373" s="20">
        <f t="shared" si="120"/>
        <v>0</v>
      </c>
      <c r="L373" s="21">
        <v>0</v>
      </c>
      <c r="M373" s="21">
        <v>0</v>
      </c>
      <c r="N373" s="21">
        <v>0</v>
      </c>
      <c r="O373" s="21">
        <v>0</v>
      </c>
      <c r="P373" s="21">
        <v>0</v>
      </c>
      <c r="Q373" s="21">
        <v>0</v>
      </c>
      <c r="R373" s="21">
        <v>0</v>
      </c>
      <c r="S373" s="21">
        <v>0</v>
      </c>
    </row>
    <row r="374" spans="1:19" x14ac:dyDescent="0.2">
      <c r="A374" s="13">
        <f t="shared" si="107"/>
        <v>374</v>
      </c>
      <c r="B374" s="4" t="s">
        <v>5</v>
      </c>
      <c r="C374" s="4" t="s">
        <v>5</v>
      </c>
      <c r="D374" s="43" t="s">
        <v>5</v>
      </c>
      <c r="E374" s="44" t="s">
        <v>5</v>
      </c>
      <c r="F374" s="45"/>
      <c r="G374" s="46"/>
      <c r="H374" s="46"/>
      <c r="I374" s="46"/>
      <c r="L374" s="21">
        <v>0</v>
      </c>
      <c r="M374" s="21">
        <v>0</v>
      </c>
      <c r="N374" s="21">
        <v>0</v>
      </c>
      <c r="O374" s="21">
        <v>0</v>
      </c>
      <c r="P374" s="21">
        <v>0</v>
      </c>
      <c r="Q374" s="21">
        <v>0</v>
      </c>
      <c r="R374" s="21">
        <v>0</v>
      </c>
      <c r="S374" s="21">
        <v>0</v>
      </c>
    </row>
    <row r="375" spans="1:19" x14ac:dyDescent="0.2">
      <c r="A375" s="13">
        <f t="shared" si="107"/>
        <v>375</v>
      </c>
      <c r="B375" s="4" t="s">
        <v>5</v>
      </c>
      <c r="C375" s="4" t="s">
        <v>217</v>
      </c>
      <c r="D375" s="43" t="s">
        <v>5</v>
      </c>
      <c r="E375" s="44" t="s">
        <v>5</v>
      </c>
      <c r="F375" s="45"/>
      <c r="G375" s="46">
        <f>SUM(G340+G345+G347+G359+G373)</f>
        <v>82728976.670000002</v>
      </c>
      <c r="H375" s="46">
        <f t="shared" ref="H375:I375" si="124">SUM(H340+H345+H347+H359+H373)</f>
        <v>79548785.99515</v>
      </c>
      <c r="I375" s="46">
        <f t="shared" si="124"/>
        <v>3180190.6748500112</v>
      </c>
      <c r="J375" s="20">
        <f>IF($E$1149=1,($G375),IF($E$1149=2,($G375),IF($E$1149=3,0,IF($E$1149=4,($H375),IF($E$1149=5,($I375),0)))))</f>
        <v>0</v>
      </c>
      <c r="L375" s="21">
        <v>0</v>
      </c>
      <c r="M375" s="21">
        <v>0</v>
      </c>
      <c r="N375" s="21">
        <v>0</v>
      </c>
      <c r="O375" s="21">
        <v>0</v>
      </c>
      <c r="P375" s="21">
        <v>0</v>
      </c>
      <c r="Q375" s="21">
        <v>0</v>
      </c>
      <c r="R375" s="21">
        <v>0</v>
      </c>
      <c r="S375" s="21">
        <v>0</v>
      </c>
    </row>
    <row r="376" spans="1:19" x14ac:dyDescent="0.2">
      <c r="A376" s="13">
        <f t="shared" si="107"/>
        <v>376</v>
      </c>
      <c r="B376" s="4"/>
      <c r="C376" s="4"/>
      <c r="D376" s="43"/>
      <c r="E376" s="44"/>
      <c r="F376" s="45"/>
      <c r="G376" s="46"/>
      <c r="H376" s="46"/>
      <c r="I376" s="46"/>
      <c r="L376" s="21">
        <v>0</v>
      </c>
      <c r="M376" s="21">
        <v>0</v>
      </c>
      <c r="N376" s="21">
        <v>0</v>
      </c>
      <c r="O376" s="21">
        <v>0</v>
      </c>
      <c r="P376" s="21">
        <v>0</v>
      </c>
      <c r="Q376" s="21">
        <v>0</v>
      </c>
      <c r="R376" s="21">
        <v>0</v>
      </c>
      <c r="S376" s="21">
        <v>0</v>
      </c>
    </row>
    <row r="377" spans="1:19" x14ac:dyDescent="0.2">
      <c r="A377" s="13">
        <f t="shared" si="107"/>
        <v>377</v>
      </c>
      <c r="B377" s="4" t="s">
        <v>218</v>
      </c>
      <c r="C377" s="4"/>
      <c r="D377" s="43" t="s">
        <v>5</v>
      </c>
      <c r="E377" s="44" t="s">
        <v>5</v>
      </c>
      <c r="F377" s="45"/>
      <c r="G377" s="46">
        <f>IF(ROUND(SUM(G337+G375),0)-ROUND(SUM(H377:I377),0)&lt;=1,SUM(G337+G375),"      WRONG")</f>
        <v>1172481393.6700001</v>
      </c>
      <c r="H377" s="46">
        <f>SUM(H337+H375)</f>
        <v>1117032914.7908282</v>
      </c>
      <c r="I377" s="46">
        <f>SUM(I337+I375)</f>
        <v>55448478.812873781</v>
      </c>
      <c r="J377" s="20">
        <f>IF($E$1149=1,($G377),IF($E$1149=2,($G377),IF($E$1149=3,0,IF($E$1149=4,($H377),IF($E$1149=5,($I377),0)))))</f>
        <v>0</v>
      </c>
      <c r="L377" s="21">
        <v>0</v>
      </c>
      <c r="M377" s="21">
        <v>0</v>
      </c>
      <c r="N377" s="21">
        <v>0</v>
      </c>
      <c r="O377" s="21">
        <v>0</v>
      </c>
      <c r="P377" s="21">
        <v>0</v>
      </c>
      <c r="Q377" s="21">
        <v>0</v>
      </c>
      <c r="R377" s="21">
        <v>0</v>
      </c>
      <c r="S377" s="21">
        <v>0</v>
      </c>
    </row>
    <row r="378" spans="1:19" x14ac:dyDescent="0.2">
      <c r="A378" s="13">
        <f t="shared" si="107"/>
        <v>378</v>
      </c>
      <c r="B378" s="38" t="str">
        <f>"* * * TABLE 5 - OPERATION &amp; MAINTENANCE EXPENSES * * *"</f>
        <v>* * * TABLE 5 - OPERATION &amp; MAINTENANCE EXPENSES * * *</v>
      </c>
      <c r="C378" s="4"/>
      <c r="D378" s="43"/>
      <c r="E378" s="44"/>
      <c r="F378" s="45"/>
      <c r="L378" s="21">
        <v>0</v>
      </c>
      <c r="M378" s="21">
        <v>0</v>
      </c>
      <c r="N378" s="21">
        <v>0</v>
      </c>
      <c r="O378" s="21">
        <v>0</v>
      </c>
      <c r="P378" s="21">
        <v>0</v>
      </c>
      <c r="Q378" s="21">
        <v>0</v>
      </c>
      <c r="R378" s="21">
        <v>0</v>
      </c>
      <c r="S378" s="21">
        <v>0</v>
      </c>
    </row>
    <row r="379" spans="1:19" x14ac:dyDescent="0.2">
      <c r="A379" s="13">
        <f t="shared" si="107"/>
        <v>379</v>
      </c>
      <c r="B379" s="4" t="s">
        <v>39</v>
      </c>
      <c r="C379" s="4"/>
      <c r="D379" s="43"/>
      <c r="E379" s="44"/>
      <c r="F379" s="45"/>
      <c r="G379" s="46"/>
      <c r="J379" s="42"/>
      <c r="K379" s="42"/>
      <c r="L379" s="21">
        <v>0</v>
      </c>
      <c r="M379" s="21">
        <v>0</v>
      </c>
      <c r="N379" s="42">
        <v>0</v>
      </c>
      <c r="O379" s="42">
        <v>0</v>
      </c>
      <c r="P379" s="21">
        <v>0</v>
      </c>
      <c r="Q379" s="21">
        <v>0</v>
      </c>
      <c r="R379" s="21">
        <v>0</v>
      </c>
      <c r="S379" s="21">
        <v>0</v>
      </c>
    </row>
    <row r="380" spans="1:19" x14ac:dyDescent="0.2">
      <c r="A380" s="13">
        <f t="shared" si="107"/>
        <v>380</v>
      </c>
      <c r="B380" s="4" t="s">
        <v>219</v>
      </c>
      <c r="C380" s="4"/>
      <c r="D380" s="43"/>
      <c r="E380" s="44"/>
      <c r="F380" s="45"/>
      <c r="L380" s="21">
        <v>0</v>
      </c>
      <c r="M380" s="21">
        <v>0</v>
      </c>
      <c r="N380" s="21">
        <v>0</v>
      </c>
      <c r="O380" s="21">
        <v>0</v>
      </c>
      <c r="P380" s="21">
        <v>0</v>
      </c>
      <c r="Q380" s="21">
        <v>0</v>
      </c>
      <c r="R380" s="21">
        <v>0</v>
      </c>
      <c r="S380" s="21">
        <v>0</v>
      </c>
    </row>
    <row r="381" spans="1:19" x14ac:dyDescent="0.2">
      <c r="A381" s="13">
        <f t="shared" si="107"/>
        <v>381</v>
      </c>
      <c r="B381" s="4" t="s">
        <v>220</v>
      </c>
      <c r="C381" s="4"/>
      <c r="D381" s="43"/>
      <c r="E381" s="44"/>
      <c r="F381" s="45"/>
      <c r="L381" s="21">
        <v>0</v>
      </c>
      <c r="M381" s="21">
        <v>0</v>
      </c>
      <c r="N381" s="21">
        <v>0</v>
      </c>
      <c r="O381" s="21">
        <v>0</v>
      </c>
      <c r="P381" s="21">
        <v>0</v>
      </c>
      <c r="Q381" s="21">
        <v>0</v>
      </c>
      <c r="R381" s="21">
        <v>0</v>
      </c>
      <c r="S381" s="21">
        <v>0</v>
      </c>
    </row>
    <row r="382" spans="1:19" x14ac:dyDescent="0.2">
      <c r="A382" s="13">
        <f t="shared" si="107"/>
        <v>382</v>
      </c>
      <c r="B382" s="4" t="s">
        <v>221</v>
      </c>
      <c r="C382" s="4"/>
      <c r="D382" s="43" t="s">
        <v>5</v>
      </c>
      <c r="E382" s="44" t="str">
        <f>(E$1004)</f>
        <v>D10</v>
      </c>
      <c r="F382" s="45"/>
      <c r="G382" s="21">
        <f>IF($E$1149=1,($L382),IF($E$1149=2,($M382),IF($E$1149=3,($N382),IF($E$1149=4,($O382),IF($E$1149=5,($P382),IF($E$1149=6,($Q382),IF($E$1149=7,($R382),IF($E$1149=8,($S382),0))))))))</f>
        <v>218833</v>
      </c>
      <c r="H382" s="48">
        <f>IF($G$1004&lt;&gt;0,($G382)*(H$1004/$G$1004),0)</f>
        <v>210111.62603279427</v>
      </c>
      <c r="I382" s="48">
        <f>IF($G$1004&lt;&gt;0,($G382)*(I$1004/$G$1004),0)</f>
        <v>8721.3739672057418</v>
      </c>
      <c r="J382" s="20">
        <f>IF($E$1149=1,($G382),IF($E$1149=2,($G382),IF($E$1149=3,0,IF($E$1149=4,($H382),IF($E$1149=5,($I382),0)))))</f>
        <v>0</v>
      </c>
      <c r="L382" s="21">
        <v>900983</v>
      </c>
      <c r="M382" s="21">
        <v>903282</v>
      </c>
      <c r="N382" s="21">
        <v>903282</v>
      </c>
      <c r="O382" s="21">
        <v>903282</v>
      </c>
      <c r="P382" s="21">
        <v>900983</v>
      </c>
      <c r="Q382" s="21">
        <v>900983</v>
      </c>
      <c r="R382" s="21">
        <v>218833</v>
      </c>
      <c r="S382" s="21">
        <v>903282</v>
      </c>
    </row>
    <row r="383" spans="1:19" x14ac:dyDescent="0.2">
      <c r="A383" s="13">
        <f t="shared" si="107"/>
        <v>383</v>
      </c>
      <c r="B383" s="4" t="s">
        <v>222</v>
      </c>
      <c r="C383" s="4"/>
      <c r="D383" s="43" t="s">
        <v>5</v>
      </c>
      <c r="E383" s="44" t="str">
        <f>(E$1010)</f>
        <v>E10</v>
      </c>
      <c r="F383" s="45"/>
      <c r="G383" s="21">
        <f>IF($E$1149=1,($L383),IF($E$1149=2,($M383),IF($E$1149=3,($N383),IF($E$1149=4,($O383),IF($E$1149=5,($P383),IF($E$1149=6,($Q383),IF($E$1149=7,($R383),IF($E$1149=8,($S383),0))))))))</f>
        <v>69668500</v>
      </c>
      <c r="H383" s="48">
        <f>IF($G$1010&lt;&gt;0,($G383)*(H$1010/$G$1010),0)</f>
        <v>66590360.653382346</v>
      </c>
      <c r="I383" s="48">
        <f>IF($G$1010&lt;&gt;0,($G383)*(I$1010/$G$1010),0)</f>
        <v>3078139.3466176544</v>
      </c>
      <c r="J383" s="20">
        <f>IF($E$1149=1,($G383),IF($E$1149=2,($G383),IF($E$1149=3,0,IF($E$1149=4,($H383),IF($E$1149=5,($I383),0)))))</f>
        <v>0</v>
      </c>
      <c r="L383" s="21">
        <v>95323833</v>
      </c>
      <c r="M383" s="21">
        <v>95323833</v>
      </c>
      <c r="N383" s="21">
        <v>95323833</v>
      </c>
      <c r="O383" s="21">
        <v>95323833</v>
      </c>
      <c r="P383" s="21">
        <v>95323833</v>
      </c>
      <c r="Q383" s="21">
        <v>95323833</v>
      </c>
      <c r="R383" s="21">
        <v>69668500</v>
      </c>
      <c r="S383" s="21">
        <v>95323833</v>
      </c>
    </row>
    <row r="384" spans="1:19" x14ac:dyDescent="0.2">
      <c r="A384" s="13">
        <f t="shared" si="107"/>
        <v>384</v>
      </c>
      <c r="B384" s="4" t="s">
        <v>39</v>
      </c>
      <c r="C384" s="4"/>
      <c r="D384" s="43"/>
      <c r="E384" s="44"/>
      <c r="F384" s="45"/>
      <c r="L384" s="21">
        <v>0</v>
      </c>
      <c r="M384" s="21">
        <v>0</v>
      </c>
      <c r="N384" s="21">
        <v>0</v>
      </c>
      <c r="O384" s="21">
        <v>0</v>
      </c>
      <c r="P384" s="21">
        <v>0</v>
      </c>
      <c r="Q384" s="21">
        <v>0</v>
      </c>
      <c r="R384" s="21">
        <v>0</v>
      </c>
      <c r="S384" s="21">
        <v>0</v>
      </c>
    </row>
    <row r="385" spans="1:19" x14ac:dyDescent="0.2">
      <c r="A385" s="13">
        <f t="shared" si="107"/>
        <v>385</v>
      </c>
      <c r="B385" s="4" t="s">
        <v>223</v>
      </c>
      <c r="C385" s="4"/>
      <c r="D385" s="43" t="s">
        <v>5</v>
      </c>
      <c r="E385" s="44" t="s">
        <v>5</v>
      </c>
      <c r="F385" s="45"/>
      <c r="L385" s="21">
        <v>0</v>
      </c>
      <c r="M385" s="21">
        <v>0</v>
      </c>
      <c r="N385" s="21">
        <v>0</v>
      </c>
      <c r="O385" s="21">
        <v>0</v>
      </c>
      <c r="P385" s="21">
        <v>0</v>
      </c>
      <c r="Q385" s="21">
        <v>0</v>
      </c>
      <c r="R385" s="21">
        <v>0</v>
      </c>
      <c r="S385" s="21">
        <v>0</v>
      </c>
    </row>
    <row r="386" spans="1:19" x14ac:dyDescent="0.2">
      <c r="A386" s="13">
        <f t="shared" si="107"/>
        <v>386</v>
      </c>
      <c r="B386" s="4" t="s">
        <v>224</v>
      </c>
      <c r="C386" s="4"/>
      <c r="D386" s="43" t="s">
        <v>5</v>
      </c>
      <c r="E386" s="44" t="str">
        <f>(E$1004)</f>
        <v>D10</v>
      </c>
      <c r="F386" s="45"/>
      <c r="G386" s="21">
        <f>IF($E$1149=1,($L386),IF($E$1149=2,($M386),IF($E$1149=3,($N386),IF($E$1149=4,($O386),IF($E$1149=5,($P386),IF($E$1149=6,($Q386),IF($E$1149=7,($R386),IF($E$1149=8,($S386),0))))))))</f>
        <v>0</v>
      </c>
      <c r="H386" s="48">
        <f>IF($G$1004&lt;&gt;0,($G386)*(H$1004/$G$1004),0)</f>
        <v>0</v>
      </c>
      <c r="I386" s="48">
        <f>IF($G$1004&lt;&gt;0,($G386)*(I$1004/$G$1004),0)</f>
        <v>0</v>
      </c>
      <c r="J386" s="20">
        <f>IF($E$1149=1,($G386),IF($E$1149=2,($G386),IF($E$1149=3,0,IF($E$1149=4,($H386),IF($E$1149=5,($I386),0)))))</f>
        <v>0</v>
      </c>
      <c r="L386" s="21">
        <v>0</v>
      </c>
      <c r="M386" s="21">
        <v>0</v>
      </c>
      <c r="N386" s="21">
        <v>0</v>
      </c>
      <c r="O386" s="21">
        <v>0</v>
      </c>
      <c r="P386" s="21">
        <v>0</v>
      </c>
      <c r="Q386" s="21">
        <v>0</v>
      </c>
      <c r="R386" s="21">
        <v>0</v>
      </c>
      <c r="S386" s="21">
        <v>0</v>
      </c>
    </row>
    <row r="387" spans="1:19" x14ac:dyDescent="0.2">
      <c r="A387" s="13">
        <f t="shared" ref="A387:A450" si="125">A386+1</f>
        <v>387</v>
      </c>
      <c r="B387" s="4" t="s">
        <v>225</v>
      </c>
      <c r="C387" s="4"/>
      <c r="D387" s="43" t="s">
        <v>5</v>
      </c>
      <c r="E387" s="44" t="str">
        <f>(E$1010)</f>
        <v>E10</v>
      </c>
      <c r="F387" s="45"/>
      <c r="G387" s="21">
        <f>IF($E$1149=1,($L387),IF($E$1149=2,($M387),IF($E$1149=3,($N387),IF($E$1149=4,($O387),IF($E$1149=5,($P387),IF($E$1149=6,($Q387),IF($E$1149=7,($R387),IF($E$1149=8,($S387),0))))))))</f>
        <v>5568669.0299999993</v>
      </c>
      <c r="H387" s="48">
        <f>IF($G$1010&lt;&gt;0,($G387)*(H$1010/$G$1010),0)</f>
        <v>5322630.4437015411</v>
      </c>
      <c r="I387" s="48">
        <f>IF($G$1010&lt;&gt;0,($G387)*(I$1010/$G$1010),0)</f>
        <v>246038.58629845866</v>
      </c>
      <c r="J387" s="20">
        <f>IF($E$1149=1,($G387),IF($E$1149=2,($G387),IF($E$1149=3,0,IF($E$1149=4,($H387),IF($E$1149=5,($I387),0)))))</f>
        <v>0</v>
      </c>
      <c r="L387" s="21">
        <v>9231056.0299999993</v>
      </c>
      <c r="M387" s="21">
        <v>9231056.0299999993</v>
      </c>
      <c r="N387" s="21">
        <v>9231056.0299999993</v>
      </c>
      <c r="O387" s="21">
        <v>9231056.0299999993</v>
      </c>
      <c r="P387" s="21">
        <v>9231056.0299999993</v>
      </c>
      <c r="Q387" s="21">
        <v>9231056.0299999993</v>
      </c>
      <c r="R387" s="21">
        <v>5568669.0299999993</v>
      </c>
      <c r="S387" s="21">
        <v>9231056.0299999993</v>
      </c>
    </row>
    <row r="388" spans="1:19" x14ac:dyDescent="0.2">
      <c r="A388" s="13">
        <f t="shared" si="125"/>
        <v>388</v>
      </c>
      <c r="B388" s="4" t="s">
        <v>5</v>
      </c>
      <c r="C388" s="4" t="s">
        <v>226</v>
      </c>
      <c r="D388" s="43" t="s">
        <v>5</v>
      </c>
      <c r="E388" s="44" t="s">
        <v>5</v>
      </c>
      <c r="F388" s="45"/>
      <c r="G388" s="46">
        <f>SUM(G386:G387)</f>
        <v>5568669.0299999993</v>
      </c>
      <c r="H388" s="46">
        <f t="shared" ref="H388:I388" si="126">SUM(H386:H387)</f>
        <v>5322630.4437015411</v>
      </c>
      <c r="I388" s="46">
        <f t="shared" si="126"/>
        <v>246038.58629845866</v>
      </c>
      <c r="J388" s="20">
        <f>IF($E$1149=1,($G388),IF($E$1149=2,($G388),IF($E$1149=3,0,IF($E$1149=4,($H388),IF($E$1149=5,($I388),0)))))</f>
        <v>0</v>
      </c>
      <c r="L388" s="21">
        <v>0</v>
      </c>
      <c r="M388" s="21">
        <v>0</v>
      </c>
      <c r="N388" s="21">
        <v>0</v>
      </c>
      <c r="O388" s="21">
        <v>0</v>
      </c>
      <c r="P388" s="21">
        <v>0</v>
      </c>
      <c r="Q388" s="21">
        <v>0</v>
      </c>
      <c r="R388" s="21">
        <v>0</v>
      </c>
      <c r="S388" s="21">
        <v>0</v>
      </c>
    </row>
    <row r="389" spans="1:19" x14ac:dyDescent="0.2">
      <c r="A389" s="13">
        <f t="shared" si="125"/>
        <v>389</v>
      </c>
      <c r="B389" s="4" t="s">
        <v>227</v>
      </c>
      <c r="C389" s="4"/>
      <c r="D389" s="43" t="s">
        <v>5</v>
      </c>
      <c r="E389" s="44" t="s">
        <v>5</v>
      </c>
      <c r="F389" s="45"/>
      <c r="L389" s="21">
        <v>0</v>
      </c>
      <c r="M389" s="21">
        <v>0</v>
      </c>
      <c r="N389" s="21">
        <v>0</v>
      </c>
      <c r="O389" s="21">
        <v>0</v>
      </c>
      <c r="P389" s="21">
        <v>0</v>
      </c>
      <c r="Q389" s="21">
        <v>0</v>
      </c>
      <c r="R389" s="21">
        <v>0</v>
      </c>
      <c r="S389" s="21">
        <v>0</v>
      </c>
    </row>
    <row r="390" spans="1:19" x14ac:dyDescent="0.2">
      <c r="A390" s="13">
        <f t="shared" si="125"/>
        <v>390</v>
      </c>
      <c r="B390" s="4" t="s">
        <v>224</v>
      </c>
      <c r="C390" s="4"/>
      <c r="D390" s="43" t="s">
        <v>5</v>
      </c>
      <c r="E390" s="44" t="str">
        <f>(E$1004)</f>
        <v>D10</v>
      </c>
      <c r="F390" s="45"/>
      <c r="G390" s="21">
        <f>IF($E$1149=1,($L390),IF($E$1149=2,($M390),IF($E$1149=3,($N390),IF($E$1149=4,($O390),IF($E$1149=5,($P390),IF($E$1149=6,($Q390),IF($E$1149=7,($R390),IF($E$1149=8,($S390),0))))))))</f>
        <v>0</v>
      </c>
      <c r="H390" s="48">
        <f>IF($G$1004&lt;&gt;0,($G390)*(H$1004/$G$1004),0)</f>
        <v>0</v>
      </c>
      <c r="I390" s="48">
        <f>IF($G$1004&lt;&gt;0,($G390)*(I$1004/$G$1004),0)</f>
        <v>0</v>
      </c>
      <c r="J390" s="20">
        <f t="shared" ref="J390:J395" si="127">IF($E$1149=1,($G390),IF($E$1149=2,($G390),IF($E$1149=3,0,IF($E$1149=4,($H390),IF($E$1149=5,($I390),0)))))</f>
        <v>0</v>
      </c>
      <c r="L390" s="21">
        <v>0</v>
      </c>
      <c r="M390" s="21">
        <v>0</v>
      </c>
      <c r="N390" s="21">
        <v>0</v>
      </c>
      <c r="O390" s="21">
        <v>0</v>
      </c>
      <c r="P390" s="21">
        <v>0</v>
      </c>
      <c r="Q390" s="21">
        <v>0</v>
      </c>
      <c r="R390" s="21">
        <v>0</v>
      </c>
      <c r="S390" s="21">
        <v>0</v>
      </c>
    </row>
    <row r="391" spans="1:19" x14ac:dyDescent="0.2">
      <c r="A391" s="13">
        <f t="shared" si="125"/>
        <v>391</v>
      </c>
      <c r="B391" s="4" t="s">
        <v>225</v>
      </c>
      <c r="C391" s="4"/>
      <c r="D391" s="43" t="s">
        <v>5</v>
      </c>
      <c r="E391" s="44" t="str">
        <f>(E$1010)</f>
        <v>E10</v>
      </c>
      <c r="F391" s="45"/>
      <c r="G391" s="21">
        <f>IF($E$1149=1,($L391),IF($E$1149=2,($M391),IF($E$1149=3,($N391),IF($E$1149=4,($O391),IF($E$1149=5,($P391),IF($E$1149=6,($Q391),IF($E$1149=7,($R391),IF($E$1149=8,($S391),0))))))))</f>
        <v>0.33000000007450581</v>
      </c>
      <c r="H391" s="48">
        <f>IF($G$1010&lt;&gt;0,($G391)*(H$1010/$G$1010),0)</f>
        <v>0.31541972369977167</v>
      </c>
      <c r="I391" s="48">
        <f>IF($G$1010&lt;&gt;0,($G391)*(I$1010/$G$1010),0)</f>
        <v>1.4580276374734137E-2</v>
      </c>
      <c r="J391" s="20">
        <f t="shared" si="127"/>
        <v>0</v>
      </c>
      <c r="L391" s="21">
        <v>1282126.33</v>
      </c>
      <c r="M391" s="21">
        <v>1282126.33</v>
      </c>
      <c r="N391" s="21">
        <v>1282126.33</v>
      </c>
      <c r="O391" s="21">
        <v>1282126.33</v>
      </c>
      <c r="P391" s="21">
        <v>1282126.33</v>
      </c>
      <c r="Q391" s="21">
        <v>1282126.33</v>
      </c>
      <c r="R391" s="21">
        <v>0.33000000007450581</v>
      </c>
      <c r="S391" s="21">
        <v>1282126.33</v>
      </c>
    </row>
    <row r="392" spans="1:19" x14ac:dyDescent="0.2">
      <c r="A392" s="13">
        <f t="shared" si="125"/>
        <v>392</v>
      </c>
      <c r="B392" s="4" t="s">
        <v>5</v>
      </c>
      <c r="C392" s="4" t="s">
        <v>228</v>
      </c>
      <c r="D392" s="43" t="s">
        <v>5</v>
      </c>
      <c r="E392" s="44" t="s">
        <v>5</v>
      </c>
      <c r="F392" s="45"/>
      <c r="G392" s="46">
        <f>SUM(G390:G391)</f>
        <v>0.33000000007450581</v>
      </c>
      <c r="H392" s="46">
        <f t="shared" ref="H392:I392" si="128">SUM(H390:H391)</f>
        <v>0.31541972369977167</v>
      </c>
      <c r="I392" s="46">
        <f t="shared" si="128"/>
        <v>1.4580276374734137E-2</v>
      </c>
      <c r="J392" s="20">
        <f t="shared" si="127"/>
        <v>0</v>
      </c>
      <c r="L392" s="21">
        <v>0</v>
      </c>
      <c r="M392" s="21">
        <v>0</v>
      </c>
      <c r="N392" s="21">
        <v>0</v>
      </c>
      <c r="O392" s="21">
        <v>0</v>
      </c>
      <c r="P392" s="21">
        <v>0</v>
      </c>
      <c r="Q392" s="21">
        <v>0</v>
      </c>
      <c r="R392" s="21">
        <v>0</v>
      </c>
      <c r="S392" s="21">
        <v>0</v>
      </c>
    </row>
    <row r="393" spans="1:19" x14ac:dyDescent="0.2">
      <c r="A393" s="13">
        <f t="shared" si="125"/>
        <v>393</v>
      </c>
      <c r="B393" s="4" t="s">
        <v>229</v>
      </c>
      <c r="C393" s="4"/>
      <c r="D393" s="43" t="s">
        <v>5</v>
      </c>
      <c r="E393" s="44" t="str">
        <f>(E$1004)</f>
        <v>D10</v>
      </c>
      <c r="F393" s="45"/>
      <c r="G393" s="21">
        <f>IF($E$1149=1,($L393),IF($E$1149=2,($M393),IF($E$1149=3,($N393),IF($E$1149=4,($O393),IF($E$1149=5,($P393),IF($E$1149=6,($Q393),IF($E$1149=7,($R393),IF($E$1149=8,($S393),0))))))))</f>
        <v>7371196.6500000004</v>
      </c>
      <c r="H393" s="48">
        <f>IF($G$1004&lt;&gt;0,($G393)*(H$1004/$G$1004),0)</f>
        <v>7077424.857946407</v>
      </c>
      <c r="I393" s="48">
        <f>IF($G$1004&lt;&gt;0,($G393)*(I$1004/$G$1004),0)</f>
        <v>293771.7920535942</v>
      </c>
      <c r="J393" s="20">
        <f t="shared" si="127"/>
        <v>0</v>
      </c>
      <c r="L393" s="21">
        <v>8485406.6500000004</v>
      </c>
      <c r="M393" s="21">
        <v>8485406.6500000004</v>
      </c>
      <c r="N393" s="21">
        <v>8485406.6500000004</v>
      </c>
      <c r="O393" s="21">
        <v>8485406.6500000004</v>
      </c>
      <c r="P393" s="21">
        <v>8485406.6500000004</v>
      </c>
      <c r="Q393" s="21">
        <v>8485406.6500000004</v>
      </c>
      <c r="R393" s="21">
        <v>7371196.6500000004</v>
      </c>
      <c r="S393" s="21">
        <v>8485406.6500000004</v>
      </c>
    </row>
    <row r="394" spans="1:19" x14ac:dyDescent="0.2">
      <c r="A394" s="13">
        <f t="shared" si="125"/>
        <v>394</v>
      </c>
      <c r="B394" s="4" t="s">
        <v>230</v>
      </c>
      <c r="C394" s="4"/>
      <c r="D394" s="43" t="s">
        <v>508</v>
      </c>
      <c r="E394" s="44">
        <f>A100</f>
        <v>100</v>
      </c>
      <c r="F394" s="45"/>
      <c r="G394" s="21">
        <f>IF($E$1149=1,($L394),IF($E$1149=2,($M394),IF($E$1149=3,($N394),IF($E$1149=4,($O394),IF($E$1149=5,($P394),IF($E$1149=6,($Q394),IF($E$1149=7,($R394),IF($E$1149=8,($S394),0))))))))</f>
        <v>216915.59</v>
      </c>
      <c r="H394" s="48">
        <f>IF($G100&lt;&gt;0,($G394)*(H100/$G100),0)</f>
        <v>208270.63252234776</v>
      </c>
      <c r="I394" s="48">
        <f>IF($G100&lt;&gt;0,($G394)*(I100/$G100),0)</f>
        <v>8644.9574776522459</v>
      </c>
      <c r="J394" s="20">
        <f t="shared" si="127"/>
        <v>0</v>
      </c>
      <c r="L394" s="21">
        <v>216915.59</v>
      </c>
      <c r="M394" s="21">
        <v>216915.59</v>
      </c>
      <c r="N394" s="21">
        <v>216915.59</v>
      </c>
      <c r="O394" s="21">
        <v>216915.59</v>
      </c>
      <c r="P394" s="21">
        <v>216915.59</v>
      </c>
      <c r="Q394" s="21">
        <v>216915.59</v>
      </c>
      <c r="R394" s="21">
        <v>216915.59</v>
      </c>
      <c r="S394" s="21">
        <v>216915.59</v>
      </c>
    </row>
    <row r="395" spans="1:19" x14ac:dyDescent="0.2">
      <c r="A395" s="13">
        <f t="shared" si="125"/>
        <v>395</v>
      </c>
      <c r="B395" s="4" t="s">
        <v>5</v>
      </c>
      <c r="C395" s="4" t="s">
        <v>231</v>
      </c>
      <c r="D395" s="43" t="s">
        <v>5</v>
      </c>
      <c r="E395" s="44" t="s">
        <v>5</v>
      </c>
      <c r="F395" s="45"/>
      <c r="G395" s="46">
        <f>SUM(G382+G383+G388+G392+G393+G394)</f>
        <v>83044114.600000009</v>
      </c>
      <c r="H395" s="46">
        <f t="shared" ref="H395:I395" si="129">SUM(H382+H383+H388+H392+H393+H394)</f>
        <v>79408798.529005155</v>
      </c>
      <c r="I395" s="46">
        <f t="shared" si="129"/>
        <v>3635316.0709948419</v>
      </c>
      <c r="J395" s="20">
        <f t="shared" si="127"/>
        <v>0</v>
      </c>
      <c r="L395" s="21">
        <v>0</v>
      </c>
      <c r="M395" s="21">
        <v>0</v>
      </c>
      <c r="N395" s="21">
        <v>0</v>
      </c>
      <c r="O395" s="21">
        <v>0</v>
      </c>
      <c r="P395" s="21">
        <v>0</v>
      </c>
      <c r="Q395" s="21">
        <v>0</v>
      </c>
      <c r="R395" s="21">
        <v>0</v>
      </c>
      <c r="S395" s="21">
        <v>0</v>
      </c>
    </row>
    <row r="396" spans="1:19" x14ac:dyDescent="0.2">
      <c r="A396" s="13">
        <f t="shared" si="125"/>
        <v>396</v>
      </c>
      <c r="B396" s="4" t="s">
        <v>39</v>
      </c>
      <c r="C396" s="4"/>
      <c r="D396" s="43" t="s">
        <v>5</v>
      </c>
      <c r="E396" s="44" t="s">
        <v>5</v>
      </c>
      <c r="F396" s="45"/>
      <c r="L396" s="21">
        <v>0</v>
      </c>
      <c r="M396" s="21">
        <v>0</v>
      </c>
      <c r="N396" s="21">
        <v>0</v>
      </c>
      <c r="O396" s="21">
        <v>0</v>
      </c>
      <c r="P396" s="21">
        <v>0</v>
      </c>
      <c r="Q396" s="21">
        <v>0</v>
      </c>
      <c r="R396" s="21">
        <v>0</v>
      </c>
      <c r="S396" s="21">
        <v>0</v>
      </c>
    </row>
    <row r="397" spans="1:19" x14ac:dyDescent="0.2">
      <c r="A397" s="13">
        <f t="shared" si="125"/>
        <v>397</v>
      </c>
      <c r="B397" s="4" t="s">
        <v>232</v>
      </c>
      <c r="C397" s="4"/>
      <c r="D397" s="43"/>
      <c r="E397" s="44"/>
      <c r="F397" s="45"/>
      <c r="L397" s="21">
        <v>0</v>
      </c>
      <c r="M397" s="21">
        <v>0</v>
      </c>
      <c r="N397" s="21">
        <v>0</v>
      </c>
      <c r="O397" s="21">
        <v>0</v>
      </c>
      <c r="P397" s="21">
        <v>0</v>
      </c>
      <c r="Q397" s="21">
        <v>0</v>
      </c>
      <c r="R397" s="21">
        <v>0</v>
      </c>
      <c r="S397" s="21">
        <v>0</v>
      </c>
    </row>
    <row r="398" spans="1:19" x14ac:dyDescent="0.2">
      <c r="A398" s="13">
        <f t="shared" si="125"/>
        <v>398</v>
      </c>
      <c r="B398" s="4" t="s">
        <v>233</v>
      </c>
      <c r="C398" s="4"/>
      <c r="D398" s="43" t="s">
        <v>5</v>
      </c>
      <c r="E398" s="44" t="str">
        <f>(E$1004)</f>
        <v>D10</v>
      </c>
      <c r="F398" s="45"/>
      <c r="G398" s="21">
        <f>IF($E$1149=1,($L398),IF($E$1149=2,($M398),IF($E$1149=3,($N398),IF($E$1149=4,($O398),IF($E$1149=5,($P398),IF($E$1149=6,($Q398),IF($E$1149=7,($R398),IF($E$1149=8,($S398),0))))))))</f>
        <v>45221.86</v>
      </c>
      <c r="H398" s="48">
        <f>IF($G$1004&lt;&gt;0,($G398)*(H$1004/$G$1004),0)</f>
        <v>43419.587250676901</v>
      </c>
      <c r="I398" s="48">
        <f>IF($G$1004&lt;&gt;0,($G398)*(I$1004/$G$1004),0)</f>
        <v>1802.2727493231032</v>
      </c>
      <c r="J398" s="20">
        <f>IF($E$1149=1,($G398),IF($E$1149=2,($G398),IF($E$1149=3,0,IF($E$1149=4,($H398),IF($E$1149=5,($I398),0)))))</f>
        <v>0</v>
      </c>
      <c r="L398" s="21">
        <v>-1754.14</v>
      </c>
      <c r="M398" s="21">
        <v>-1754.14</v>
      </c>
      <c r="N398" s="21">
        <v>-1754.14</v>
      </c>
      <c r="O398" s="21">
        <v>-1754.14</v>
      </c>
      <c r="P398" s="21">
        <v>-1754.14</v>
      </c>
      <c r="Q398" s="21">
        <v>-1754.14</v>
      </c>
      <c r="R398" s="21">
        <v>45221.86</v>
      </c>
      <c r="S398" s="21">
        <v>-1754.14</v>
      </c>
    </row>
    <row r="399" spans="1:19" x14ac:dyDescent="0.2">
      <c r="A399" s="13">
        <f t="shared" si="125"/>
        <v>399</v>
      </c>
      <c r="B399" s="4" t="s">
        <v>234</v>
      </c>
      <c r="C399" s="4"/>
      <c r="D399" s="43" t="s">
        <v>5</v>
      </c>
      <c r="E399" s="44" t="str">
        <f>(E$1004)</f>
        <v>D10</v>
      </c>
      <c r="F399" s="45"/>
      <c r="G399" s="21">
        <f>IF($E$1149=1,($L399),IF($E$1149=2,($M399),IF($E$1149=3,($N399),IF($E$1149=4,($O399),IF($E$1149=5,($P399),IF($E$1149=6,($Q399),IF($E$1149=7,($R399),IF($E$1149=8,($S399),0))))))))</f>
        <v>-0.15999999991618097</v>
      </c>
      <c r="H399" s="48">
        <f>IF($G$1004&lt;&gt;0,($G399)*(H$1004/$G$1004),0)</f>
        <v>-0.15362335729819421</v>
      </c>
      <c r="I399" s="48">
        <f>IF($G$1004&lt;&gt;0,($G399)*(I$1004/$G$1004),0)</f>
        <v>-6.3766426179867825E-3</v>
      </c>
      <c r="J399" s="20">
        <f>IF($E$1149=1,($G399),IF($E$1149=2,($G399),IF($E$1149=3,0,IF($E$1149=4,($H399),IF($E$1149=5,($I399),0)))))</f>
        <v>0</v>
      </c>
      <c r="L399" s="21">
        <v>1278995.8400000001</v>
      </c>
      <c r="M399" s="21">
        <v>1278995.8400000001</v>
      </c>
      <c r="N399" s="21">
        <v>1278995.8400000001</v>
      </c>
      <c r="O399" s="21">
        <v>1278995.8400000001</v>
      </c>
      <c r="P399" s="21">
        <v>1278995.8400000001</v>
      </c>
      <c r="Q399" s="21">
        <v>1278995.8400000001</v>
      </c>
      <c r="R399" s="21">
        <v>-0.15999999991618097</v>
      </c>
      <c r="S399" s="21">
        <v>1278995.8400000001</v>
      </c>
    </row>
    <row r="400" spans="1:19" x14ac:dyDescent="0.2">
      <c r="A400" s="13">
        <f t="shared" si="125"/>
        <v>400</v>
      </c>
      <c r="B400" s="4" t="s">
        <v>235</v>
      </c>
      <c r="C400" s="4"/>
      <c r="D400" s="43" t="s">
        <v>5</v>
      </c>
      <c r="E400" s="44" t="s">
        <v>5</v>
      </c>
      <c r="F400" s="45"/>
      <c r="L400" s="21">
        <v>0</v>
      </c>
      <c r="M400" s="21">
        <v>0</v>
      </c>
      <c r="N400" s="21">
        <v>0</v>
      </c>
      <c r="O400" s="21">
        <v>0</v>
      </c>
      <c r="P400" s="21">
        <v>0</v>
      </c>
      <c r="Q400" s="21">
        <v>0</v>
      </c>
      <c r="R400" s="21">
        <v>0</v>
      </c>
      <c r="S400" s="21">
        <v>0</v>
      </c>
    </row>
    <row r="401" spans="1:19" x14ac:dyDescent="0.2">
      <c r="A401" s="13">
        <f t="shared" si="125"/>
        <v>401</v>
      </c>
      <c r="B401" s="4" t="s">
        <v>224</v>
      </c>
      <c r="C401" s="4"/>
      <c r="D401" s="43" t="s">
        <v>5</v>
      </c>
      <c r="E401" s="44" t="str">
        <f>(E$1004)</f>
        <v>D10</v>
      </c>
      <c r="F401" s="45"/>
      <c r="G401" s="21">
        <f>IF($E$1149=1,($L401),IF($E$1149=2,($M401),IF($E$1149=3,($N401),IF($E$1149=4,($O401),IF($E$1149=5,($P401),IF($E$1149=6,($Q401),IF($E$1149=7,($R401),IF($E$1149=8,($S401),0))))))))</f>
        <v>0</v>
      </c>
      <c r="H401" s="48">
        <f>IF($G$1004&lt;&gt;0,($G401)*(H$1004/$G$1004),0)</f>
        <v>0</v>
      </c>
      <c r="I401" s="48">
        <f>IF($G$1004&lt;&gt;0,($G401)*(I$1004/$G$1004),0)</f>
        <v>0</v>
      </c>
      <c r="J401" s="20">
        <f>IF($E$1149=1,($G401),IF($E$1149=2,($G401),IF($E$1149=3,0,IF($E$1149=4,($H401),IF($E$1149=5,($I401),0)))))</f>
        <v>0</v>
      </c>
      <c r="L401" s="21">
        <v>0</v>
      </c>
      <c r="M401" s="21">
        <v>0</v>
      </c>
      <c r="N401" s="21">
        <v>0</v>
      </c>
      <c r="O401" s="21">
        <v>0</v>
      </c>
      <c r="P401" s="21">
        <v>0</v>
      </c>
      <c r="Q401" s="21">
        <v>0</v>
      </c>
      <c r="R401" s="21">
        <v>0</v>
      </c>
      <c r="S401" s="21">
        <v>0</v>
      </c>
    </row>
    <row r="402" spans="1:19" x14ac:dyDescent="0.2">
      <c r="A402" s="13">
        <f t="shared" si="125"/>
        <v>402</v>
      </c>
      <c r="B402" s="4" t="s">
        <v>225</v>
      </c>
      <c r="C402" s="4"/>
      <c r="D402" s="43" t="s">
        <v>5</v>
      </c>
      <c r="E402" s="44" t="str">
        <f>(E$1010)</f>
        <v>E10</v>
      </c>
      <c r="F402" s="45"/>
      <c r="G402" s="21">
        <f>IF($E$1149=1,($L402),IF($E$1149=2,($M402),IF($E$1149=3,($N402),IF($E$1149=4,($O402),IF($E$1149=5,($P402),IF($E$1149=6,($Q402),IF($E$1149=7,($R402),IF($E$1149=8,($S402),0))))))))</f>
        <v>6133396.5999999996</v>
      </c>
      <c r="H402" s="48">
        <f>IF($G$1010&lt;&gt;0,($G402)*(H$1010/$G$1010),0)</f>
        <v>5862406.8499282897</v>
      </c>
      <c r="I402" s="48">
        <f>IF($G$1010&lt;&gt;0,($G402)*(I$1010/$G$1010),0)</f>
        <v>270989.75007171021</v>
      </c>
      <c r="J402" s="20">
        <f>IF($E$1149=1,($G402),IF($E$1149=2,($G402),IF($E$1149=3,0,IF($E$1149=4,($H402),IF($E$1149=5,($I402),0)))))</f>
        <v>0</v>
      </c>
      <c r="L402" s="21">
        <v>8910437.5999999996</v>
      </c>
      <c r="M402" s="21">
        <v>8910437.5999999996</v>
      </c>
      <c r="N402" s="21">
        <v>8910437.5999999996</v>
      </c>
      <c r="O402" s="21">
        <v>8910437.5999999996</v>
      </c>
      <c r="P402" s="21">
        <v>8910437.5999999996</v>
      </c>
      <c r="Q402" s="21">
        <v>8910437.5999999996</v>
      </c>
      <c r="R402" s="21">
        <v>6133396.5999999996</v>
      </c>
      <c r="S402" s="21">
        <v>8910437.5999999996</v>
      </c>
    </row>
    <row r="403" spans="1:19" x14ac:dyDescent="0.2">
      <c r="A403" s="13">
        <f t="shared" si="125"/>
        <v>403</v>
      </c>
      <c r="B403" s="4" t="s">
        <v>5</v>
      </c>
      <c r="C403" s="4" t="s">
        <v>236</v>
      </c>
      <c r="D403" s="43" t="s">
        <v>5</v>
      </c>
      <c r="E403" s="44" t="s">
        <v>5</v>
      </c>
      <c r="F403" s="45"/>
      <c r="G403" s="46">
        <f>SUM(G401:G402)</f>
        <v>6133396.5999999996</v>
      </c>
      <c r="H403" s="46">
        <f t="shared" ref="H403:I403" si="130">SUM(H401:H402)</f>
        <v>5862406.8499282897</v>
      </c>
      <c r="I403" s="46">
        <f t="shared" si="130"/>
        <v>270989.75007171021</v>
      </c>
      <c r="J403" s="20">
        <f>IF($E$1149=1,($G403),IF($E$1149=2,($G403),IF($E$1149=3,0,IF($E$1149=4,($H403),IF($E$1149=5,($I403),0)))))</f>
        <v>0</v>
      </c>
      <c r="L403" s="21">
        <v>0</v>
      </c>
      <c r="M403" s="21">
        <v>0</v>
      </c>
      <c r="N403" s="21">
        <v>0</v>
      </c>
      <c r="O403" s="21">
        <v>0</v>
      </c>
      <c r="P403" s="21">
        <v>0</v>
      </c>
      <c r="Q403" s="21">
        <v>0</v>
      </c>
      <c r="R403" s="21">
        <v>0</v>
      </c>
      <c r="S403" s="21">
        <v>0</v>
      </c>
    </row>
    <row r="404" spans="1:19" x14ac:dyDescent="0.2">
      <c r="A404" s="13">
        <f t="shared" si="125"/>
        <v>404</v>
      </c>
      <c r="B404" s="4" t="s">
        <v>237</v>
      </c>
      <c r="C404" s="4"/>
      <c r="D404" s="43" t="s">
        <v>5</v>
      </c>
      <c r="E404" s="44" t="s">
        <v>5</v>
      </c>
      <c r="F404" s="45"/>
      <c r="L404" s="21">
        <v>0</v>
      </c>
      <c r="M404" s="21">
        <v>0</v>
      </c>
      <c r="N404" s="21">
        <v>0</v>
      </c>
      <c r="O404" s="21">
        <v>0</v>
      </c>
      <c r="P404" s="21">
        <v>0</v>
      </c>
      <c r="Q404" s="21">
        <v>0</v>
      </c>
      <c r="R404" s="21">
        <v>0</v>
      </c>
      <c r="S404" s="21">
        <v>0</v>
      </c>
    </row>
    <row r="405" spans="1:19" x14ac:dyDescent="0.2">
      <c r="A405" s="13">
        <f t="shared" si="125"/>
        <v>405</v>
      </c>
      <c r="B405" s="4" t="s">
        <v>224</v>
      </c>
      <c r="C405" s="4"/>
      <c r="D405" s="43" t="s">
        <v>5</v>
      </c>
      <c r="E405" s="44" t="str">
        <f>(E$1004)</f>
        <v>D10</v>
      </c>
      <c r="F405" s="45"/>
      <c r="G405" s="21">
        <f>IF($E$1149=1,($L405),IF($E$1149=2,($M405),IF($E$1149=3,($N405),IF($E$1149=4,($O405),IF($E$1149=5,($P405),IF($E$1149=6,($Q405),IF($E$1149=7,($R405),IF($E$1149=8,($S405),0))))))))</f>
        <v>0</v>
      </c>
      <c r="H405" s="48">
        <f>IF($G$1004&lt;&gt;0,($G405)*(H$1004/$G$1004),0)</f>
        <v>0</v>
      </c>
      <c r="I405" s="48">
        <f>IF($G$1004&lt;&gt;0,($G405)*(I$1004/$G$1004),0)</f>
        <v>0</v>
      </c>
      <c r="J405" s="20">
        <f>IF($E$1149=1,($G405),IF($E$1149=2,($G405),IF($E$1149=3,0,IF($E$1149=4,($H405),IF($E$1149=5,($I405),0)))))</f>
        <v>0</v>
      </c>
      <c r="L405" s="21">
        <v>0</v>
      </c>
      <c r="M405" s="21">
        <v>0</v>
      </c>
      <c r="N405" s="21">
        <v>0</v>
      </c>
      <c r="O405" s="21">
        <v>0</v>
      </c>
      <c r="P405" s="21">
        <v>0</v>
      </c>
      <c r="Q405" s="21">
        <v>0</v>
      </c>
      <c r="R405" s="21">
        <v>0</v>
      </c>
      <c r="S405" s="21">
        <v>0</v>
      </c>
    </row>
    <row r="406" spans="1:19" x14ac:dyDescent="0.2">
      <c r="A406" s="13">
        <f t="shared" si="125"/>
        <v>406</v>
      </c>
      <c r="B406" s="4" t="s">
        <v>225</v>
      </c>
      <c r="C406" s="4"/>
      <c r="D406" s="43" t="s">
        <v>5</v>
      </c>
      <c r="E406" s="44" t="str">
        <f>(E$1010)</f>
        <v>E10</v>
      </c>
      <c r="F406" s="45"/>
      <c r="G406" s="21">
        <f>IF($E$1149=1,($L406),IF($E$1149=2,($M406),IF($E$1149=3,($N406),IF($E$1149=4,($O406),IF($E$1149=5,($P406),IF($E$1149=6,($Q406),IF($E$1149=7,($R406),IF($E$1149=8,($S406),0))))))))</f>
        <v>2218896.75</v>
      </c>
      <c r="H406" s="48">
        <f>IF($G$1010&lt;&gt;0,($G406)*(H$1010/$G$1010),0)</f>
        <v>2120859.9989251667</v>
      </c>
      <c r="I406" s="48">
        <f>IF($G$1010&lt;&gt;0,($G406)*(I$1010/$G$1010),0)</f>
        <v>98036.75107483349</v>
      </c>
      <c r="J406" s="20">
        <f>IF($E$1149=1,($G406),IF($E$1149=2,($G406),IF($E$1149=3,0,IF($E$1149=4,($H406),IF($E$1149=5,($I406),0)))))</f>
        <v>0</v>
      </c>
      <c r="L406" s="21">
        <v>2692330.75</v>
      </c>
      <c r="M406" s="21">
        <v>2692330.75</v>
      </c>
      <c r="N406" s="21">
        <v>2692330.75</v>
      </c>
      <c r="O406" s="21">
        <v>2692330.75</v>
      </c>
      <c r="P406" s="21">
        <v>2692330.75</v>
      </c>
      <c r="Q406" s="21">
        <v>2692330.75</v>
      </c>
      <c r="R406" s="21">
        <v>2218896.75</v>
      </c>
      <c r="S406" s="21">
        <v>2692330.75</v>
      </c>
    </row>
    <row r="407" spans="1:19" x14ac:dyDescent="0.2">
      <c r="A407" s="13">
        <f t="shared" si="125"/>
        <v>407</v>
      </c>
      <c r="B407" s="4" t="s">
        <v>5</v>
      </c>
      <c r="C407" s="4" t="s">
        <v>238</v>
      </c>
      <c r="D407" s="43" t="s">
        <v>5</v>
      </c>
      <c r="E407" s="44" t="s">
        <v>5</v>
      </c>
      <c r="F407" s="45"/>
      <c r="G407" s="46">
        <f>SUM(G405:G406)</f>
        <v>2218896.75</v>
      </c>
      <c r="H407" s="46">
        <f t="shared" ref="H407:I407" si="131">SUM(H405:H406)</f>
        <v>2120859.9989251667</v>
      </c>
      <c r="I407" s="46">
        <f t="shared" si="131"/>
        <v>98036.75107483349</v>
      </c>
      <c r="J407" s="20">
        <f>IF($E$1149=1,($G407),IF($E$1149=2,($G407),IF($E$1149=3,0,IF($E$1149=4,($H407),IF($E$1149=5,($I407),0)))))</f>
        <v>0</v>
      </c>
      <c r="L407" s="21">
        <v>0</v>
      </c>
      <c r="M407" s="21">
        <v>0</v>
      </c>
      <c r="N407" s="21">
        <v>0</v>
      </c>
      <c r="O407" s="21">
        <v>0</v>
      </c>
      <c r="P407" s="21">
        <v>0</v>
      </c>
      <c r="Q407" s="21">
        <v>0</v>
      </c>
      <c r="R407" s="21">
        <v>0</v>
      </c>
      <c r="S407" s="21">
        <v>0</v>
      </c>
    </row>
    <row r="408" spans="1:19" x14ac:dyDescent="0.2">
      <c r="A408" s="13">
        <f t="shared" si="125"/>
        <v>408</v>
      </c>
      <c r="B408" s="4" t="s">
        <v>239</v>
      </c>
      <c r="C408" s="4"/>
      <c r="D408" s="43" t="s">
        <v>5</v>
      </c>
      <c r="E408" s="44" t="str">
        <f>(E$1004)</f>
        <v>D10</v>
      </c>
      <c r="F408" s="45"/>
      <c r="G408" s="21">
        <f>IF($E$1149=1,($L408),IF($E$1149=2,($M408),IF($E$1149=3,($N408),IF($E$1149=4,($O408),IF($E$1149=5,($P408),IF($E$1149=6,($Q408),IF($E$1149=7,($R408),IF($E$1149=8,($S408),0))))))))</f>
        <v>7910938.1200000001</v>
      </c>
      <c r="H408" s="48">
        <f>IF($G$1004&lt;&gt;0,($G408)*(H$1004/$G$1004),0)</f>
        <v>7595655.4625582825</v>
      </c>
      <c r="I408" s="48">
        <f>IF($G$1004&lt;&gt;0,($G408)*(I$1004/$G$1004),0)</f>
        <v>315282.65744171827</v>
      </c>
      <c r="J408" s="20">
        <f>IF($E$1149=1,($G408),IF($E$1149=2,($G408),IF($E$1149=3,0,IF($E$1149=4,($H408),IF($E$1149=5,($I408),0)))))</f>
        <v>0</v>
      </c>
      <c r="L408" s="21">
        <v>8056749.1200000001</v>
      </c>
      <c r="M408" s="21">
        <v>8056749.1200000001</v>
      </c>
      <c r="N408" s="21">
        <v>8056749.1200000001</v>
      </c>
      <c r="O408" s="21">
        <v>8056749.1200000001</v>
      </c>
      <c r="P408" s="21">
        <v>8056749.1200000001</v>
      </c>
      <c r="Q408" s="21">
        <v>8056749.1200000001</v>
      </c>
      <c r="R408" s="21">
        <v>7910938.1200000001</v>
      </c>
      <c r="S408" s="21">
        <v>8056749.1200000001</v>
      </c>
    </row>
    <row r="409" spans="1:19" x14ac:dyDescent="0.2">
      <c r="A409" s="13">
        <f t="shared" si="125"/>
        <v>409</v>
      </c>
      <c r="B409" s="4" t="s">
        <v>5</v>
      </c>
      <c r="C409" s="4" t="s">
        <v>240</v>
      </c>
      <c r="D409" s="43" t="s">
        <v>5</v>
      </c>
      <c r="E409" s="44" t="s">
        <v>5</v>
      </c>
      <c r="F409" s="45"/>
      <c r="G409" s="46">
        <f>SUM(G398+G399+G403+G407+G408)</f>
        <v>16308453.170000002</v>
      </c>
      <c r="H409" s="46">
        <f t="shared" ref="H409:I409" si="132">SUM(H398+H399+H403+H407+H408)</f>
        <v>15622341.745039059</v>
      </c>
      <c r="I409" s="46">
        <f t="shared" si="132"/>
        <v>686111.42496094247</v>
      </c>
      <c r="J409" s="20">
        <f>IF($E$1149=1,($G409),IF($E$1149=2,($G409),IF($E$1149=3,0,IF($E$1149=4,($H409),IF($E$1149=5,($I409),0)))))</f>
        <v>0</v>
      </c>
      <c r="L409" s="21">
        <v>0</v>
      </c>
      <c r="M409" s="21">
        <v>0</v>
      </c>
      <c r="N409" s="21">
        <v>0</v>
      </c>
      <c r="O409" s="21">
        <v>0</v>
      </c>
      <c r="P409" s="21">
        <v>0</v>
      </c>
      <c r="Q409" s="21">
        <v>0</v>
      </c>
      <c r="R409" s="21">
        <v>0</v>
      </c>
      <c r="S409" s="21">
        <v>0</v>
      </c>
    </row>
    <row r="410" spans="1:19" x14ac:dyDescent="0.2">
      <c r="A410" s="13">
        <f t="shared" si="125"/>
        <v>410</v>
      </c>
      <c r="B410" s="4" t="s">
        <v>5</v>
      </c>
      <c r="C410" s="4" t="s">
        <v>5</v>
      </c>
      <c r="D410" s="43" t="s">
        <v>5</v>
      </c>
      <c r="E410" s="44" t="s">
        <v>5</v>
      </c>
      <c r="F410" s="45"/>
      <c r="G410" s="46"/>
      <c r="H410" s="46"/>
      <c r="I410" s="46"/>
      <c r="L410" s="21">
        <v>0</v>
      </c>
      <c r="M410" s="21">
        <v>0</v>
      </c>
      <c r="N410" s="21">
        <v>0</v>
      </c>
      <c r="O410" s="21">
        <v>0</v>
      </c>
      <c r="P410" s="21">
        <v>0</v>
      </c>
      <c r="Q410" s="21">
        <v>0</v>
      </c>
      <c r="R410" s="21">
        <v>0</v>
      </c>
      <c r="S410" s="21">
        <v>0</v>
      </c>
    </row>
    <row r="411" spans="1:19" x14ac:dyDescent="0.2">
      <c r="A411" s="13">
        <f t="shared" si="125"/>
        <v>411</v>
      </c>
      <c r="B411" s="4" t="s">
        <v>5</v>
      </c>
      <c r="C411" s="4" t="s">
        <v>241</v>
      </c>
      <c r="D411" s="43" t="s">
        <v>5</v>
      </c>
      <c r="E411" s="44" t="s">
        <v>5</v>
      </c>
      <c r="F411" s="45"/>
      <c r="G411" s="46">
        <f>SUM(G395+G409)</f>
        <v>99352567.770000011</v>
      </c>
      <c r="H411" s="46">
        <f t="shared" ref="H411:I411" si="133">SUM(H395+H409)</f>
        <v>95031140.274044216</v>
      </c>
      <c r="I411" s="46">
        <f t="shared" si="133"/>
        <v>4321427.4959557839</v>
      </c>
      <c r="J411" s="20">
        <f>IF($E$1149=1,($G411),IF($E$1149=2,($G411),IF($E$1149=3,0,IF($E$1149=4,($H411),IF($E$1149=5,($I411),0)))))</f>
        <v>0</v>
      </c>
      <c r="L411" s="21">
        <v>0</v>
      </c>
      <c r="M411" s="21">
        <v>0</v>
      </c>
      <c r="N411" s="21">
        <v>0</v>
      </c>
      <c r="O411" s="21">
        <v>0</v>
      </c>
      <c r="P411" s="21">
        <v>0</v>
      </c>
      <c r="Q411" s="21">
        <v>0</v>
      </c>
      <c r="R411" s="21">
        <v>0</v>
      </c>
      <c r="S411" s="21">
        <v>0</v>
      </c>
    </row>
    <row r="412" spans="1:19" x14ac:dyDescent="0.2">
      <c r="A412" s="13">
        <f t="shared" si="125"/>
        <v>412</v>
      </c>
      <c r="B412" s="4" t="s">
        <v>5</v>
      </c>
      <c r="C412" s="4" t="s">
        <v>5</v>
      </c>
      <c r="D412" s="43" t="s">
        <v>5</v>
      </c>
      <c r="E412" s="44" t="s">
        <v>5</v>
      </c>
      <c r="F412" s="45"/>
      <c r="G412" s="46"/>
      <c r="L412" s="21">
        <v>0</v>
      </c>
      <c r="M412" s="21">
        <v>0</v>
      </c>
      <c r="N412" s="21">
        <v>0</v>
      </c>
      <c r="O412" s="21">
        <v>0</v>
      </c>
      <c r="P412" s="21">
        <v>0</v>
      </c>
      <c r="Q412" s="21">
        <v>0</v>
      </c>
      <c r="R412" s="21">
        <v>0</v>
      </c>
      <c r="S412" s="21">
        <v>0</v>
      </c>
    </row>
    <row r="413" spans="1:19" x14ac:dyDescent="0.2">
      <c r="A413" s="13">
        <f t="shared" si="125"/>
        <v>413</v>
      </c>
      <c r="B413" s="38" t="str">
        <f>B378</f>
        <v>* * * TABLE 5 - OPERATION &amp; MAINTENANCE EXPENSES * * *</v>
      </c>
      <c r="C413" s="4"/>
      <c r="D413" s="43"/>
      <c r="E413" s="44"/>
      <c r="F413" s="45"/>
      <c r="L413" s="21">
        <v>0</v>
      </c>
      <c r="M413" s="21">
        <v>0</v>
      </c>
      <c r="N413" s="21">
        <v>0</v>
      </c>
      <c r="O413" s="21">
        <v>0</v>
      </c>
      <c r="P413" s="21">
        <v>0</v>
      </c>
      <c r="Q413" s="21">
        <v>0</v>
      </c>
      <c r="R413" s="21">
        <v>0</v>
      </c>
      <c r="S413" s="21">
        <v>0</v>
      </c>
    </row>
    <row r="414" spans="1:19" x14ac:dyDescent="0.2">
      <c r="A414" s="13">
        <f t="shared" si="125"/>
        <v>414</v>
      </c>
      <c r="B414" s="4" t="s">
        <v>39</v>
      </c>
      <c r="C414" s="4"/>
      <c r="D414" s="43"/>
      <c r="E414" s="44"/>
      <c r="F414" s="45"/>
      <c r="L414" s="21">
        <v>0</v>
      </c>
      <c r="M414" s="21">
        <v>0</v>
      </c>
      <c r="N414" s="21">
        <v>0</v>
      </c>
      <c r="O414" s="21">
        <v>0</v>
      </c>
      <c r="P414" s="21">
        <v>0</v>
      </c>
      <c r="Q414" s="21">
        <v>0</v>
      </c>
      <c r="R414" s="21">
        <v>0</v>
      </c>
      <c r="S414" s="21">
        <v>0</v>
      </c>
    </row>
    <row r="415" spans="1:19" x14ac:dyDescent="0.2">
      <c r="A415" s="13">
        <f t="shared" si="125"/>
        <v>415</v>
      </c>
      <c r="B415" s="4" t="s">
        <v>242</v>
      </c>
      <c r="C415" s="4"/>
      <c r="D415" s="43" t="s">
        <v>5</v>
      </c>
      <c r="E415" s="44" t="s">
        <v>5</v>
      </c>
      <c r="F415" s="45"/>
      <c r="L415" s="21">
        <v>0</v>
      </c>
      <c r="M415" s="21">
        <v>0</v>
      </c>
      <c r="N415" s="21">
        <v>0</v>
      </c>
      <c r="O415" s="21">
        <v>0</v>
      </c>
      <c r="P415" s="21">
        <v>0</v>
      </c>
      <c r="Q415" s="21">
        <v>0</v>
      </c>
      <c r="R415" s="21">
        <v>0</v>
      </c>
      <c r="S415" s="21">
        <v>0</v>
      </c>
    </row>
    <row r="416" spans="1:19" x14ac:dyDescent="0.2">
      <c r="A416" s="13">
        <f t="shared" si="125"/>
        <v>416</v>
      </c>
      <c r="B416" s="4" t="s">
        <v>243</v>
      </c>
      <c r="C416" s="4"/>
      <c r="D416" s="43" t="s">
        <v>508</v>
      </c>
      <c r="E416" s="44">
        <f>A875</f>
        <v>875</v>
      </c>
      <c r="F416" s="45"/>
      <c r="G416" s="21">
        <f>IF($E$1149=1,($L416),IF($E$1149=2,($M416),IF($E$1149=3,($N416),IF($E$1149=4,($O416),IF($E$1149=5,($P416),IF($E$1149=6,($Q416),IF($E$1149=7,($R416),IF($E$1149=8,($S416),0))))))))</f>
        <v>5454274.1500000004</v>
      </c>
      <c r="H416" s="48">
        <f>IF($G875&lt;&gt;0,($G416)*(H875/$G875),0)</f>
        <v>5235256.5641090209</v>
      </c>
      <c r="I416" s="48">
        <f>IF($G875&lt;&gt;0,($G416)*(I875/$G875),0)</f>
        <v>219017.5858909798</v>
      </c>
      <c r="J416" s="20">
        <f t="shared" ref="J416" si="134">IF($E$1149=1,($G416),IF($E$1149=2,($G416),IF($E$1149=3,0,IF($E$1149=4,($H416),IF($E$1149=5,($I416),0)))))</f>
        <v>0</v>
      </c>
      <c r="L416" s="21">
        <v>5427508.1500000004</v>
      </c>
      <c r="M416" s="21">
        <v>5454274.1500000004</v>
      </c>
      <c r="N416" s="21">
        <v>5454274.1500000004</v>
      </c>
      <c r="O416" s="21">
        <v>5454274.1500000004</v>
      </c>
      <c r="P416" s="21">
        <v>5427508.1500000004</v>
      </c>
      <c r="Q416" s="21">
        <v>5427508.1500000004</v>
      </c>
      <c r="R416" s="21">
        <v>5454274.1500000004</v>
      </c>
      <c r="S416" s="21">
        <v>5454274.1500000004</v>
      </c>
    </row>
    <row r="417" spans="1:19" x14ac:dyDescent="0.2">
      <c r="A417" s="13">
        <f t="shared" si="125"/>
        <v>417</v>
      </c>
      <c r="B417" s="4" t="s">
        <v>244</v>
      </c>
      <c r="C417" s="4"/>
      <c r="D417" s="43"/>
      <c r="E417" s="44"/>
      <c r="F417" s="45"/>
      <c r="G417" s="21"/>
      <c r="H417" s="48"/>
      <c r="I417" s="48"/>
    </row>
    <row r="418" spans="1:19" x14ac:dyDescent="0.2">
      <c r="A418" s="13">
        <f t="shared" si="125"/>
        <v>418</v>
      </c>
      <c r="B418" s="4" t="s">
        <v>245</v>
      </c>
      <c r="C418" s="4"/>
      <c r="D418" s="43"/>
      <c r="E418" s="44" t="str">
        <f>(E$1004)</f>
        <v>D10</v>
      </c>
      <c r="F418" s="45"/>
      <c r="G418" s="21">
        <f>IF($E$1149=1,($L418),IF($E$1149=2,($M418),IF($E$1149=3,($N418),IF($E$1149=4,($O418),IF($E$1149=5,($P418),IF($E$1149=6,($Q418),IF($E$1149=7,($R418),IF($E$1149=8,($S418),0))))))))</f>
        <v>9801</v>
      </c>
      <c r="H418" s="48">
        <f>IF($G$1004&lt;&gt;0,($G418)*(H$1004/$G$1004),0)</f>
        <v>9410.3907854273202</v>
      </c>
      <c r="I418" s="48">
        <f>IF($G$1004&lt;&gt;0,($G418)*(I$1004/$G$1004),0)</f>
        <v>390.60921457268086</v>
      </c>
      <c r="J418" s="20">
        <f>IF($E$1149=1,($G418),IF($E$1149=2,($G418),IF($E$1149=3,0,IF($E$1149=4,($H418),IF($E$1149=5,($I418),0)))))</f>
        <v>0</v>
      </c>
      <c r="L418" s="21">
        <v>9801</v>
      </c>
      <c r="M418" s="21">
        <v>9801</v>
      </c>
      <c r="N418" s="21">
        <v>9801</v>
      </c>
      <c r="O418" s="21">
        <v>9801</v>
      </c>
      <c r="P418" s="21">
        <v>9801</v>
      </c>
      <c r="Q418" s="21">
        <v>9801</v>
      </c>
      <c r="R418" s="21">
        <v>9801</v>
      </c>
      <c r="S418" s="21">
        <v>9801</v>
      </c>
    </row>
    <row r="419" spans="1:19" x14ac:dyDescent="0.2">
      <c r="A419" s="13">
        <f t="shared" si="125"/>
        <v>419</v>
      </c>
      <c r="B419" s="4" t="s">
        <v>225</v>
      </c>
      <c r="C419" s="4"/>
      <c r="D419" s="43"/>
      <c r="E419" s="44" t="str">
        <f>(E$1004)</f>
        <v>D10</v>
      </c>
      <c r="F419" s="45"/>
      <c r="G419" s="21">
        <f>IF($E$1149=1,($L419),IF($E$1149=2,($M419),IF($E$1149=3,($N419),IF($E$1149=4,($O419),IF($E$1149=5,($P419),IF($E$1149=6,($Q419),IF($E$1149=7,($R419),IF($E$1149=8,($S419),0))))))))</f>
        <v>5672096</v>
      </c>
      <c r="H419" s="48">
        <f>IF($G$1004&lt;&gt;0,($G419)*(H$1004/$G$1004),0)</f>
        <v>5446040.193088375</v>
      </c>
      <c r="I419" s="48">
        <f>IF($G$1004&lt;&gt;0,($G419)*(I$1004/$G$1004),0)</f>
        <v>226055.80691162584</v>
      </c>
      <c r="J419" s="20">
        <f>IF($E$1149=1,($G419),IF($E$1149=2,($G419),IF($E$1149=3,0,IF($E$1149=4,($H419),IF($E$1149=5,($I419),0)))))</f>
        <v>0</v>
      </c>
      <c r="L419" s="21">
        <v>5667251</v>
      </c>
      <c r="M419" s="21">
        <v>5672096</v>
      </c>
      <c r="N419" s="21">
        <v>5672096</v>
      </c>
      <c r="O419" s="21">
        <v>5672096</v>
      </c>
      <c r="P419" s="21">
        <v>5667251</v>
      </c>
      <c r="Q419" s="21">
        <v>5667251</v>
      </c>
      <c r="R419" s="21">
        <v>5672096</v>
      </c>
      <c r="S419" s="21">
        <v>5672096</v>
      </c>
    </row>
    <row r="420" spans="1:19" x14ac:dyDescent="0.2">
      <c r="A420" s="13">
        <f t="shared" si="125"/>
        <v>420</v>
      </c>
      <c r="B420" s="4"/>
      <c r="C420" s="4" t="s">
        <v>246</v>
      </c>
      <c r="D420" s="43" t="s">
        <v>5</v>
      </c>
      <c r="E420" s="44"/>
      <c r="F420" s="45"/>
      <c r="G420" s="46">
        <f>SUM(G418:G419)</f>
        <v>5681897</v>
      </c>
      <c r="H420" s="46">
        <f t="shared" ref="H420:I420" si="135">SUM(H418:H419)</f>
        <v>5455450.5838738028</v>
      </c>
      <c r="I420" s="46">
        <f t="shared" si="135"/>
        <v>226446.41612619851</v>
      </c>
      <c r="J420" s="20">
        <f>IF($E$1149=1,($G420),IF($E$1149=2,($G420),IF($E$1149=3,0,IF($E$1149=4,($H420),IF($E$1149=5,($I420),0)))))</f>
        <v>0</v>
      </c>
    </row>
    <row r="421" spans="1:19" x14ac:dyDescent="0.2">
      <c r="A421" s="13">
        <f t="shared" si="125"/>
        <v>421</v>
      </c>
      <c r="B421" s="4"/>
      <c r="C421" s="4"/>
      <c r="D421" s="43"/>
      <c r="E421" s="44"/>
      <c r="F421" s="45"/>
      <c r="G421" s="21"/>
      <c r="H421" s="48"/>
      <c r="I421" s="48"/>
    </row>
    <row r="422" spans="1:19" x14ac:dyDescent="0.2">
      <c r="A422" s="13">
        <f t="shared" si="125"/>
        <v>422</v>
      </c>
      <c r="B422" s="4" t="s">
        <v>247</v>
      </c>
      <c r="C422" s="4"/>
      <c r="D422" s="43" t="s">
        <v>5</v>
      </c>
      <c r="E422" s="44" t="str">
        <f>(E$1004)</f>
        <v>D10</v>
      </c>
      <c r="F422" s="45"/>
      <c r="G422" s="21">
        <f>IF($E$1149=1,($L422),IF($E$1149=2,($M422),IF($E$1149=3,($N422),IF($E$1149=4,($O422),IF($E$1149=5,($P422),IF($E$1149=6,($Q422),IF($E$1149=7,($R422),IF($E$1149=8,($S422),0))))))))</f>
        <v>16121833.029999999</v>
      </c>
      <c r="H422" s="48">
        <f>IF($G$1004&lt;&gt;0,($G422)*(H$1004/$G$1004),0)</f>
        <v>15479313.232293624</v>
      </c>
      <c r="I422" s="48">
        <f>IF($G$1004&lt;&gt;0,($G422)*(I$1004/$G$1004),0)</f>
        <v>642519.79770637723</v>
      </c>
      <c r="J422" s="20">
        <f t="shared" ref="J422" si="136">IF($E$1149=1,($G422),IF($E$1149=2,($G422),IF($E$1149=3,0,IF($E$1149=4,($H422),IF($E$1149=5,($I422),0)))))</f>
        <v>0</v>
      </c>
      <c r="L422" s="21">
        <v>16085623.029999999</v>
      </c>
      <c r="M422" s="21">
        <v>16121833.029999999</v>
      </c>
      <c r="N422" s="21">
        <v>16121833.029999999</v>
      </c>
      <c r="O422" s="21">
        <v>16121833.029999999</v>
      </c>
      <c r="P422" s="21">
        <v>16085623.029999999</v>
      </c>
      <c r="Q422" s="21">
        <v>16085623.029999999</v>
      </c>
      <c r="R422" s="21">
        <v>16121833.029999999</v>
      </c>
      <c r="S422" s="21">
        <v>16121833.029999999</v>
      </c>
    </row>
    <row r="423" spans="1:19" x14ac:dyDescent="0.2">
      <c r="A423" s="13">
        <f t="shared" si="125"/>
        <v>423</v>
      </c>
      <c r="B423" s="4" t="s">
        <v>248</v>
      </c>
      <c r="C423" s="4"/>
      <c r="D423" s="43" t="s">
        <v>5</v>
      </c>
      <c r="E423" s="44" t="s">
        <v>5</v>
      </c>
      <c r="F423" s="45"/>
      <c r="L423" s="21">
        <v>0</v>
      </c>
      <c r="M423" s="21">
        <v>0</v>
      </c>
      <c r="N423" s="21">
        <v>0</v>
      </c>
      <c r="O423" s="21">
        <v>0</v>
      </c>
      <c r="P423" s="21">
        <v>0</v>
      </c>
      <c r="Q423" s="21">
        <v>0</v>
      </c>
      <c r="R423" s="21">
        <v>0</v>
      </c>
      <c r="S423" s="21">
        <v>0</v>
      </c>
    </row>
    <row r="424" spans="1:19" x14ac:dyDescent="0.2">
      <c r="A424" s="13">
        <f t="shared" si="125"/>
        <v>424</v>
      </c>
      <c r="B424" s="4" t="s">
        <v>224</v>
      </c>
      <c r="C424" s="4"/>
      <c r="D424" s="43" t="s">
        <v>5</v>
      </c>
      <c r="E424" s="44" t="str">
        <f>(E$1004)</f>
        <v>D10</v>
      </c>
      <c r="F424" s="45"/>
      <c r="G424" s="21">
        <f>IF($E$1149=1,($L424),IF($E$1149=2,($M424),IF($E$1149=3,($N424),IF($E$1149=4,($O424),IF($E$1149=5,($P424),IF($E$1149=6,($Q424),IF($E$1149=7,($R424),IF($E$1149=8,($S424),0))))))))</f>
        <v>1439472.39</v>
      </c>
      <c r="H424" s="48">
        <f>IF($G$1004&lt;&gt;0,($G424)*(H$1004/$G$1004),0)</f>
        <v>1382103.6337856383</v>
      </c>
      <c r="I424" s="48">
        <f>IF($G$1004&lt;&gt;0,($G424)*(I$1004/$G$1004),0)</f>
        <v>57368.756214361776</v>
      </c>
      <c r="J424" s="20">
        <f>IF($E$1149=1,($G424),IF($E$1149=2,($G424),IF($E$1149=3,0,IF($E$1149=4,($H424),IF($E$1149=5,($I424),0)))))</f>
        <v>0</v>
      </c>
      <c r="L424" s="21">
        <v>1430748.39</v>
      </c>
      <c r="M424" s="21">
        <v>1439472.39</v>
      </c>
      <c r="N424" s="21">
        <v>1439472.39</v>
      </c>
      <c r="O424" s="21">
        <v>1439472.39</v>
      </c>
      <c r="P424" s="21">
        <v>1430748.39</v>
      </c>
      <c r="Q424" s="21">
        <v>1430748.39</v>
      </c>
      <c r="R424" s="21">
        <v>1439472.39</v>
      </c>
      <c r="S424" s="21">
        <v>1439472.39</v>
      </c>
    </row>
    <row r="425" spans="1:19" x14ac:dyDescent="0.2">
      <c r="A425" s="13">
        <f t="shared" si="125"/>
        <v>425</v>
      </c>
      <c r="B425" s="4" t="s">
        <v>225</v>
      </c>
      <c r="C425" s="4"/>
      <c r="D425" s="43" t="s">
        <v>5</v>
      </c>
      <c r="E425" s="44" t="str">
        <f>(E$1010)</f>
        <v>E10</v>
      </c>
      <c r="F425" s="45"/>
      <c r="G425" s="21">
        <f>IF($E$1149=1,($L425),IF($E$1149=2,($M425),IF($E$1149=3,($N425),IF($E$1149=4,($O425),IF($E$1149=5,($P425),IF($E$1149=6,($Q425),IF($E$1149=7,($R425),IF($E$1149=8,($S425),0))))))))</f>
        <v>350646.25</v>
      </c>
      <c r="H425" s="48">
        <f>IF($G$1010&lt;&gt;0,($G425)*(H$1010/$G$1010),0)</f>
        <v>335153.7674739096</v>
      </c>
      <c r="I425" s="48">
        <f>IF($G$1010&lt;&gt;0,($G425)*(I$1010/$G$1010),0)</f>
        <v>15492.482526090425</v>
      </c>
      <c r="J425" s="20">
        <f>IF($E$1149=1,($G425),IF($E$1149=2,($G425),IF($E$1149=3,0,IF($E$1149=4,($H425),IF($E$1149=5,($I425),0)))))</f>
        <v>0</v>
      </c>
      <c r="L425" s="21">
        <v>350646.25</v>
      </c>
      <c r="M425" s="21">
        <v>350646.25</v>
      </c>
      <c r="N425" s="21">
        <v>350646.25</v>
      </c>
      <c r="O425" s="21">
        <v>350646.25</v>
      </c>
      <c r="P425" s="21">
        <v>350646.25</v>
      </c>
      <c r="Q425" s="21">
        <v>350646.25</v>
      </c>
      <c r="R425" s="21">
        <v>350646.25</v>
      </c>
      <c r="S425" s="21">
        <v>350646.25</v>
      </c>
    </row>
    <row r="426" spans="1:19" x14ac:dyDescent="0.2">
      <c r="A426" s="13">
        <f t="shared" si="125"/>
        <v>426</v>
      </c>
      <c r="B426" s="4" t="s">
        <v>5</v>
      </c>
      <c r="C426" s="4" t="s">
        <v>249</v>
      </c>
      <c r="D426" s="43" t="s">
        <v>5</v>
      </c>
      <c r="E426" s="44" t="s">
        <v>5</v>
      </c>
      <c r="F426" s="45"/>
      <c r="G426" s="46">
        <f>SUM(G424:G425)</f>
        <v>1790118.64</v>
      </c>
      <c r="H426" s="46">
        <f t="shared" ref="H426:I426" si="137">SUM(H424:H425)</f>
        <v>1717257.4012595478</v>
      </c>
      <c r="I426" s="46">
        <f t="shared" si="137"/>
        <v>72861.238740452201</v>
      </c>
      <c r="J426" s="20">
        <f>IF($E$1149=1,($G426),IF($E$1149=2,($G426),IF($E$1149=3,0,IF($E$1149=4,($H426),IF($E$1149=5,($I426),0)))))</f>
        <v>0</v>
      </c>
      <c r="L426" s="21">
        <v>0</v>
      </c>
      <c r="M426" s="21">
        <v>0</v>
      </c>
      <c r="N426" s="21">
        <v>0</v>
      </c>
      <c r="O426" s="21">
        <v>0</v>
      </c>
      <c r="P426" s="21">
        <v>0</v>
      </c>
      <c r="Q426" s="21">
        <v>0</v>
      </c>
      <c r="R426" s="21">
        <v>0</v>
      </c>
      <c r="S426" s="21">
        <v>0</v>
      </c>
    </row>
    <row r="427" spans="1:19" x14ac:dyDescent="0.2">
      <c r="A427" s="13">
        <f t="shared" si="125"/>
        <v>427</v>
      </c>
      <c r="B427" s="4" t="s">
        <v>5</v>
      </c>
      <c r="C427" s="4" t="s">
        <v>5</v>
      </c>
      <c r="D427" s="43" t="s">
        <v>5</v>
      </c>
      <c r="E427" s="44" t="s">
        <v>5</v>
      </c>
      <c r="F427" s="45"/>
      <c r="L427" s="21">
        <v>0</v>
      </c>
      <c r="M427" s="21">
        <v>0</v>
      </c>
      <c r="N427" s="21">
        <v>0</v>
      </c>
      <c r="O427" s="21">
        <v>0</v>
      </c>
      <c r="P427" s="21">
        <v>0</v>
      </c>
      <c r="Q427" s="21">
        <v>0</v>
      </c>
      <c r="R427" s="21">
        <v>0</v>
      </c>
      <c r="S427" s="21">
        <v>0</v>
      </c>
    </row>
    <row r="428" spans="1:19" x14ac:dyDescent="0.2">
      <c r="A428" s="13">
        <f t="shared" si="125"/>
        <v>428</v>
      </c>
      <c r="B428" s="4" t="s">
        <v>250</v>
      </c>
      <c r="C428" s="4"/>
      <c r="D428" s="43" t="s">
        <v>5</v>
      </c>
      <c r="E428" s="44" t="str">
        <f>(E$1004)</f>
        <v>D10</v>
      </c>
      <c r="F428" s="45"/>
      <c r="G428" s="21">
        <f>IF($E$1149=1,($L428),IF($E$1149=2,($M428),IF($E$1149=3,($N428),IF($E$1149=4,($O428),IF($E$1149=5,($P428),IF($E$1149=6,($Q428),IF($E$1149=7,($R428),IF($E$1149=8,($S428),0))))))))</f>
        <v>4935382.1500000004</v>
      </c>
      <c r="H428" s="48">
        <f>IF($G$1004&lt;&gt;0,($G428)*(H$1004/$G$1004),0)</f>
        <v>4738687.3489360763</v>
      </c>
      <c r="I428" s="48">
        <f>IF($G$1004&lt;&gt;0,($G428)*(I$1004/$G$1004),0)</f>
        <v>196694.80106392503</v>
      </c>
      <c r="J428" s="20">
        <f>IF($E$1149=1,($G428),IF($E$1149=2,($G428),IF($E$1149=3,0,IF($E$1149=4,($H428),IF($E$1149=5,($I428),0)))))</f>
        <v>0</v>
      </c>
      <c r="L428" s="21">
        <v>4915529.1500000004</v>
      </c>
      <c r="M428" s="21">
        <v>4935382.1500000004</v>
      </c>
      <c r="N428" s="21">
        <v>4935382.1500000004</v>
      </c>
      <c r="O428" s="21">
        <v>4935382.1500000004</v>
      </c>
      <c r="P428" s="21">
        <v>4915529.1500000004</v>
      </c>
      <c r="Q428" s="21">
        <v>4915529.1500000004</v>
      </c>
      <c r="R428" s="21">
        <v>4935382.1500000004</v>
      </c>
      <c r="S428" s="21">
        <v>4935382.1500000004</v>
      </c>
    </row>
    <row r="429" spans="1:19" x14ac:dyDescent="0.2">
      <c r="A429" s="13">
        <f t="shared" si="125"/>
        <v>429</v>
      </c>
      <c r="B429" s="4" t="s">
        <v>251</v>
      </c>
      <c r="C429" s="4"/>
      <c r="D429" s="43" t="s">
        <v>5</v>
      </c>
      <c r="E429" s="44" t="str">
        <f>(E$1004)</f>
        <v>D10</v>
      </c>
      <c r="F429" s="45"/>
      <c r="G429" s="21">
        <f>IF($E$1149=1,($L429),IF($E$1149=2,($M429),IF($E$1149=3,($N429),IF($E$1149=4,($O429),IF($E$1149=5,($P429),IF($E$1149=6,($Q429),IF($E$1149=7,($R429),IF($E$1149=8,($S429),0))))))))</f>
        <v>306561.25</v>
      </c>
      <c r="H429" s="48">
        <f>IF($G$1004&lt;&gt;0,($G429)*(H$1004/$G$1004),0)</f>
        <v>294343.55292001646</v>
      </c>
      <c r="I429" s="48">
        <f>IF($G$1004&lt;&gt;0,($G429)*(I$1004/$G$1004),0)</f>
        <v>12217.6970799836</v>
      </c>
      <c r="J429" s="20">
        <f>IF($E$1149=1,($G429),IF($E$1149=2,($G429),IF($E$1149=3,0,IF($E$1149=4,($H429),IF($E$1149=5,($I429),0)))))</f>
        <v>0</v>
      </c>
      <c r="L429" s="21">
        <v>306561.25</v>
      </c>
      <c r="M429" s="21">
        <v>306561.25</v>
      </c>
      <c r="N429" s="21">
        <v>306561.25</v>
      </c>
      <c r="O429" s="21">
        <v>306561.25</v>
      </c>
      <c r="P429" s="21">
        <v>306561.25</v>
      </c>
      <c r="Q429" s="21">
        <v>306561.25</v>
      </c>
      <c r="R429" s="21">
        <v>306561.25</v>
      </c>
      <c r="S429" s="21">
        <v>306561.25</v>
      </c>
    </row>
    <row r="430" spans="1:19" x14ac:dyDescent="0.2">
      <c r="A430" s="13">
        <f t="shared" si="125"/>
        <v>430</v>
      </c>
      <c r="B430" s="4" t="s">
        <v>5</v>
      </c>
      <c r="C430" s="4" t="s">
        <v>5</v>
      </c>
      <c r="D430" s="43" t="s">
        <v>5</v>
      </c>
      <c r="E430" s="44" t="s">
        <v>5</v>
      </c>
      <c r="F430" s="45"/>
      <c r="L430" s="21">
        <v>0</v>
      </c>
      <c r="M430" s="21">
        <v>0</v>
      </c>
      <c r="N430" s="21">
        <v>0</v>
      </c>
      <c r="O430" s="21">
        <v>0</v>
      </c>
      <c r="P430" s="21">
        <v>0</v>
      </c>
      <c r="Q430" s="21">
        <v>0</v>
      </c>
      <c r="R430" s="21">
        <v>0</v>
      </c>
      <c r="S430" s="21">
        <v>0</v>
      </c>
    </row>
    <row r="431" spans="1:19" x14ac:dyDescent="0.2">
      <c r="A431" s="13">
        <f t="shared" si="125"/>
        <v>431</v>
      </c>
      <c r="B431" s="4" t="s">
        <v>5</v>
      </c>
      <c r="C431" s="4" t="s">
        <v>252</v>
      </c>
      <c r="D431" s="43" t="s">
        <v>5</v>
      </c>
      <c r="E431" s="44" t="s">
        <v>5</v>
      </c>
      <c r="F431" s="45"/>
      <c r="G431" s="46">
        <f>SUM(G416+G420+G422+G426+G428+G429)</f>
        <v>34290066.219999999</v>
      </c>
      <c r="H431" s="46">
        <f t="shared" ref="H431:I431" si="138">SUM(H416+H420+H422+H426+H428+H429)</f>
        <v>32920308.683392093</v>
      </c>
      <c r="I431" s="46">
        <f t="shared" si="138"/>
        <v>1369757.5366079162</v>
      </c>
      <c r="J431" s="20">
        <f t="shared" ref="J431" si="139">IF($E$1149=1,($G431),IF($E$1149=2,($G431),IF($E$1149=3,0,IF($E$1149=4,($H431),IF($E$1149=5,($I431),0)))))</f>
        <v>0</v>
      </c>
      <c r="L431" s="21">
        <v>0</v>
      </c>
      <c r="M431" s="21">
        <v>0</v>
      </c>
      <c r="N431" s="21">
        <v>0</v>
      </c>
      <c r="O431" s="21">
        <v>0</v>
      </c>
      <c r="P431" s="21">
        <v>0</v>
      </c>
      <c r="Q431" s="21">
        <v>0</v>
      </c>
      <c r="R431" s="21">
        <v>0</v>
      </c>
      <c r="S431" s="21">
        <v>0</v>
      </c>
    </row>
    <row r="432" spans="1:19" x14ac:dyDescent="0.2">
      <c r="A432" s="13">
        <f t="shared" si="125"/>
        <v>432</v>
      </c>
      <c r="B432" s="4" t="s">
        <v>39</v>
      </c>
      <c r="C432" s="4" t="s">
        <v>39</v>
      </c>
      <c r="D432" s="43" t="s">
        <v>5</v>
      </c>
      <c r="E432" s="44" t="s">
        <v>5</v>
      </c>
      <c r="F432" s="45"/>
      <c r="L432" s="21">
        <v>0</v>
      </c>
      <c r="M432" s="21">
        <v>0</v>
      </c>
      <c r="N432" s="21">
        <v>0</v>
      </c>
      <c r="O432" s="21">
        <v>0</v>
      </c>
      <c r="P432" s="21">
        <v>0</v>
      </c>
      <c r="Q432" s="21">
        <v>0</v>
      </c>
      <c r="R432" s="21">
        <v>0</v>
      </c>
      <c r="S432" s="21">
        <v>0</v>
      </c>
    </row>
    <row r="433" spans="1:19" x14ac:dyDescent="0.2">
      <c r="A433" s="13">
        <f t="shared" si="125"/>
        <v>433</v>
      </c>
      <c r="B433" s="4" t="s">
        <v>232</v>
      </c>
      <c r="C433" s="4"/>
      <c r="D433" s="43"/>
      <c r="E433" s="44"/>
      <c r="F433" s="45"/>
      <c r="L433" s="21">
        <v>0</v>
      </c>
      <c r="M433" s="21">
        <v>0</v>
      </c>
      <c r="N433" s="21">
        <v>0</v>
      </c>
      <c r="O433" s="21">
        <v>0</v>
      </c>
      <c r="P433" s="21">
        <v>0</v>
      </c>
      <c r="Q433" s="21">
        <v>0</v>
      </c>
      <c r="R433" s="21">
        <v>0</v>
      </c>
      <c r="S433" s="21">
        <v>0</v>
      </c>
    </row>
    <row r="434" spans="1:19" x14ac:dyDescent="0.2">
      <c r="A434" s="13">
        <f t="shared" si="125"/>
        <v>434</v>
      </c>
      <c r="B434" s="4" t="s">
        <v>253</v>
      </c>
      <c r="C434" s="4"/>
      <c r="D434" s="43" t="s">
        <v>508</v>
      </c>
      <c r="E434" s="44">
        <f>A881</f>
        <v>881</v>
      </c>
      <c r="F434" s="45"/>
      <c r="G434" s="21">
        <f>IF($E$1149=1,($L434),IF($E$1149=2,($M434),IF($E$1149=3,($N434),IF($E$1149=4,($O434),IF($E$1149=5,($P434),IF($E$1149=6,($Q434),IF($E$1149=7,($R434),IF($E$1149=8,($S434),0))))))))</f>
        <v>135069.93</v>
      </c>
      <c r="H434" s="48">
        <f>IF($G881&lt;&gt;0,($G434)*(H881/$G881),0)</f>
        <v>129686.8507968894</v>
      </c>
      <c r="I434" s="48">
        <f>IF($G881&lt;&gt;0,($G434)*(I881/$G881),0)</f>
        <v>5383.0792031105993</v>
      </c>
      <c r="J434" s="20">
        <f>IF($E$1149=1,($G434),IF($E$1149=2,($G434),IF($E$1149=3,0,IF($E$1149=4,($H434),IF($E$1149=5,($I434),0)))))</f>
        <v>0</v>
      </c>
      <c r="L434" s="21">
        <v>134377.93</v>
      </c>
      <c r="M434" s="21">
        <v>135069.93</v>
      </c>
      <c r="N434" s="21">
        <v>135069.93</v>
      </c>
      <c r="O434" s="21">
        <v>135069.93</v>
      </c>
      <c r="P434" s="21">
        <v>134377.93</v>
      </c>
      <c r="Q434" s="21">
        <v>134377.93</v>
      </c>
      <c r="R434" s="21">
        <v>135069.93</v>
      </c>
      <c r="S434" s="21">
        <v>135069.93</v>
      </c>
    </row>
    <row r="435" spans="1:19" x14ac:dyDescent="0.2">
      <c r="A435" s="13">
        <f t="shared" si="125"/>
        <v>435</v>
      </c>
      <c r="B435" s="4" t="s">
        <v>254</v>
      </c>
      <c r="C435" s="4"/>
      <c r="D435" s="43" t="s">
        <v>5</v>
      </c>
      <c r="E435" s="44" t="str">
        <f>(E$1004)</f>
        <v>D10</v>
      </c>
      <c r="F435" s="45"/>
      <c r="G435" s="21">
        <f>IF($E$1149=1,($L435),IF($E$1149=2,($M435),IF($E$1149=3,($N435),IF($E$1149=4,($O435),IF($E$1149=5,($P435),IF($E$1149=6,($Q435),IF($E$1149=7,($R435),IF($E$1149=8,($S435),0))))))))</f>
        <v>997569.51</v>
      </c>
      <c r="H435" s="48">
        <f>IF($G$1004&lt;&gt;0,($G435)*(H$1004/$G$1004),0)</f>
        <v>957812.35840498388</v>
      </c>
      <c r="I435" s="48">
        <f>IF($G$1004&lt;&gt;0,($G435)*(I$1004/$G$1004),0)</f>
        <v>39757.151595016236</v>
      </c>
      <c r="J435" s="20">
        <f>IF($E$1149=1,($G435),IF($E$1149=2,($G435),IF($E$1149=3,0,IF($E$1149=4,($H435),IF($E$1149=5,($I435),0)))))</f>
        <v>0</v>
      </c>
      <c r="L435" s="21">
        <v>993194.51</v>
      </c>
      <c r="M435" s="21">
        <v>997569.51</v>
      </c>
      <c r="N435" s="21">
        <v>997569.51</v>
      </c>
      <c r="O435" s="21">
        <v>997569.51</v>
      </c>
      <c r="P435" s="21">
        <v>993194.51</v>
      </c>
      <c r="Q435" s="21">
        <v>993194.51</v>
      </c>
      <c r="R435" s="21">
        <v>997569.51</v>
      </c>
      <c r="S435" s="21">
        <v>997569.51</v>
      </c>
    </row>
    <row r="436" spans="1:19" x14ac:dyDescent="0.2">
      <c r="A436" s="13">
        <f t="shared" si="125"/>
        <v>436</v>
      </c>
      <c r="B436" s="4" t="s">
        <v>255</v>
      </c>
      <c r="C436" s="4"/>
      <c r="D436" s="43" t="s">
        <v>5</v>
      </c>
      <c r="E436" s="44" t="str">
        <f>(E$1004)</f>
        <v>D10</v>
      </c>
      <c r="F436" s="45"/>
      <c r="G436" s="21">
        <f>IF($E$1149=1,($L436),IF($E$1149=2,($M436),IF($E$1149=3,($N436),IF($E$1149=4,($O436),IF($E$1149=5,($P436),IF($E$1149=6,($Q436),IF($E$1149=7,($R436),IF($E$1149=8,($S436),0))))))))</f>
        <v>598439.07999999996</v>
      </c>
      <c r="H436" s="48">
        <f>IF($G$1004&lt;&gt;0,($G436)*(H$1004/$G$1004),0)</f>
        <v>574588.8791012757</v>
      </c>
      <c r="I436" s="48">
        <f>IF($G$1004&lt;&gt;0,($G436)*(I$1004/$G$1004),0)</f>
        <v>23850.200898724386</v>
      </c>
      <c r="J436" s="20">
        <f>IF($E$1149=1,($G436),IF($E$1149=2,($G436),IF($E$1149=3,0,IF($E$1149=4,($H436),IF($E$1149=5,($I436),0)))))</f>
        <v>0</v>
      </c>
      <c r="L436" s="21">
        <v>596164.07999999996</v>
      </c>
      <c r="M436" s="21">
        <v>598439.07999999996</v>
      </c>
      <c r="N436" s="21">
        <v>598439.07999999996</v>
      </c>
      <c r="O436" s="21">
        <v>598439.07999999996</v>
      </c>
      <c r="P436" s="21">
        <v>596164.07999999996</v>
      </c>
      <c r="Q436" s="21">
        <v>596164.07999999996</v>
      </c>
      <c r="R436" s="21">
        <v>598439.07999999996</v>
      </c>
      <c r="S436" s="21">
        <v>598439.07999999996</v>
      </c>
    </row>
    <row r="437" spans="1:19" x14ac:dyDescent="0.2">
      <c r="A437" s="13">
        <f t="shared" si="125"/>
        <v>437</v>
      </c>
      <c r="B437" s="4" t="s">
        <v>256</v>
      </c>
      <c r="C437" s="4"/>
      <c r="D437" s="43" t="s">
        <v>5</v>
      </c>
      <c r="E437" s="44" t="s">
        <v>5</v>
      </c>
      <c r="F437" s="45"/>
      <c r="L437" s="21">
        <v>0</v>
      </c>
      <c r="M437" s="21">
        <v>0</v>
      </c>
      <c r="N437" s="21">
        <v>0</v>
      </c>
      <c r="O437" s="21">
        <v>0</v>
      </c>
      <c r="P437" s="21">
        <v>0</v>
      </c>
      <c r="Q437" s="21">
        <v>0</v>
      </c>
      <c r="R437" s="21">
        <v>0</v>
      </c>
      <c r="S437" s="21">
        <v>0</v>
      </c>
    </row>
    <row r="438" spans="1:19" x14ac:dyDescent="0.2">
      <c r="A438" s="13">
        <f t="shared" si="125"/>
        <v>438</v>
      </c>
      <c r="B438" s="4" t="s">
        <v>224</v>
      </c>
      <c r="C438" s="4"/>
      <c r="D438" s="43" t="s">
        <v>5</v>
      </c>
      <c r="E438" s="44" t="str">
        <f>(E$1004)</f>
        <v>D10</v>
      </c>
      <c r="F438" s="45"/>
      <c r="G438" s="21">
        <f>IF($E$1149=1,($L438),IF($E$1149=2,($M438),IF($E$1149=3,($N438),IF($E$1149=4,($O438),IF($E$1149=5,($P438),IF($E$1149=6,($Q438),IF($E$1149=7,($R438),IF($E$1149=8,($S438),0))))))))</f>
        <v>1687769.12</v>
      </c>
      <c r="H438" s="48">
        <f>IF($G$1004&lt;&gt;0,($G438)*(H$1004/$G$1004),0)</f>
        <v>1620504.7418402997</v>
      </c>
      <c r="I438" s="48">
        <f>IF($G$1004&lt;&gt;0,($G438)*(I$1004/$G$1004),0)</f>
        <v>67264.378159700529</v>
      </c>
      <c r="J438" s="20">
        <f>IF($E$1149=1,($G438),IF($E$1149=2,($G438),IF($E$1149=3,0,IF($E$1149=4,($H438),IF($E$1149=5,($I438),0)))))</f>
        <v>0</v>
      </c>
      <c r="L438" s="21">
        <v>1677540.12</v>
      </c>
      <c r="M438" s="21">
        <v>1687769.12</v>
      </c>
      <c r="N438" s="21">
        <v>1687769.12</v>
      </c>
      <c r="O438" s="21">
        <v>1687769.12</v>
      </c>
      <c r="P438" s="21">
        <v>1677540.12</v>
      </c>
      <c r="Q438" s="21">
        <v>1677540.12</v>
      </c>
      <c r="R438" s="21">
        <v>1687769.12</v>
      </c>
      <c r="S438" s="21">
        <v>1687769.12</v>
      </c>
    </row>
    <row r="439" spans="1:19" x14ac:dyDescent="0.2">
      <c r="A439" s="13">
        <f t="shared" si="125"/>
        <v>439</v>
      </c>
      <c r="B439" s="4" t="s">
        <v>225</v>
      </c>
      <c r="C439" s="4"/>
      <c r="D439" s="43" t="s">
        <v>5</v>
      </c>
      <c r="E439" s="44" t="str">
        <f>(E$1004)</f>
        <v>D10</v>
      </c>
      <c r="F439" s="45"/>
      <c r="G439" s="21">
        <f>IF($E$1149=1,($L439),IF($E$1149=2,($M439),IF($E$1149=3,($N439),IF($E$1149=4,($O439),IF($E$1149=5,($P439),IF($E$1149=6,($Q439),IF($E$1149=7,($R439),IF($E$1149=8,($S439),0))))))))</f>
        <v>952755.5</v>
      </c>
      <c r="H439" s="48">
        <f>IF($G$1004&lt;&gt;0,($G439)*(H$1004/$G$1004),0)</f>
        <v>914784.36669372511</v>
      </c>
      <c r="I439" s="48">
        <f>IF($G$1004&lt;&gt;0,($G439)*(I$1004/$G$1004),0)</f>
        <v>37971.133306275056</v>
      </c>
      <c r="J439" s="20">
        <f>IF($E$1149=1,($G439),IF($E$1149=2,($G439),IF($E$1149=3,0,IF($E$1149=4,($H439),IF($E$1149=5,($I439),0)))))</f>
        <v>0</v>
      </c>
      <c r="L439" s="21">
        <v>952755.5</v>
      </c>
      <c r="M439" s="21">
        <v>952755.5</v>
      </c>
      <c r="N439" s="21">
        <v>952755.5</v>
      </c>
      <c r="O439" s="21">
        <v>952755.5</v>
      </c>
      <c r="P439" s="21">
        <v>952755.5</v>
      </c>
      <c r="Q439" s="21">
        <v>952755.5</v>
      </c>
      <c r="R439" s="21">
        <v>952755.5</v>
      </c>
      <c r="S439" s="21">
        <v>952755.5</v>
      </c>
    </row>
    <row r="440" spans="1:19" x14ac:dyDescent="0.2">
      <c r="A440" s="13">
        <f t="shared" si="125"/>
        <v>440</v>
      </c>
      <c r="B440" s="4" t="s">
        <v>5</v>
      </c>
      <c r="C440" s="4" t="s">
        <v>257</v>
      </c>
      <c r="D440" s="43" t="s">
        <v>5</v>
      </c>
      <c r="E440" s="44" t="s">
        <v>5</v>
      </c>
      <c r="F440" s="45"/>
      <c r="G440" s="46">
        <f>SUM(G438:G439)</f>
        <v>2640524.62</v>
      </c>
      <c r="H440" s="46">
        <f t="shared" ref="H440:I440" si="140">SUM(H438:H439)</f>
        <v>2535289.108534025</v>
      </c>
      <c r="I440" s="46">
        <f t="shared" si="140"/>
        <v>105235.51146597558</v>
      </c>
      <c r="J440" s="20">
        <f>IF($E$1149=1,($G440),IF($E$1149=2,($G440),IF($E$1149=3,0,IF($E$1149=4,($H440),IF($E$1149=5,($I440),0)))))</f>
        <v>0</v>
      </c>
      <c r="L440" s="21">
        <v>0</v>
      </c>
      <c r="M440" s="21">
        <v>0</v>
      </c>
      <c r="N440" s="21">
        <v>0</v>
      </c>
      <c r="O440" s="21">
        <v>0</v>
      </c>
      <c r="P440" s="21">
        <v>0</v>
      </c>
      <c r="Q440" s="21">
        <v>0</v>
      </c>
      <c r="R440" s="21">
        <v>0</v>
      </c>
      <c r="S440" s="21">
        <v>0</v>
      </c>
    </row>
    <row r="441" spans="1:19" x14ac:dyDescent="0.2">
      <c r="A441" s="13">
        <f t="shared" si="125"/>
        <v>441</v>
      </c>
      <c r="B441" s="4" t="s">
        <v>5</v>
      </c>
      <c r="C441" s="4" t="s">
        <v>5</v>
      </c>
      <c r="D441" s="43" t="s">
        <v>5</v>
      </c>
      <c r="E441" s="44" t="s">
        <v>5</v>
      </c>
      <c r="F441" s="45"/>
      <c r="L441" s="21">
        <v>0</v>
      </c>
      <c r="M441" s="21">
        <v>0</v>
      </c>
      <c r="N441" s="21">
        <v>0</v>
      </c>
      <c r="O441" s="21">
        <v>0</v>
      </c>
      <c r="P441" s="21">
        <v>0</v>
      </c>
      <c r="Q441" s="21">
        <v>0</v>
      </c>
      <c r="R441" s="21">
        <v>0</v>
      </c>
      <c r="S441" s="21">
        <v>0</v>
      </c>
    </row>
    <row r="442" spans="1:19" x14ac:dyDescent="0.2">
      <c r="A442" s="13">
        <f t="shared" si="125"/>
        <v>442</v>
      </c>
      <c r="B442" s="4" t="s">
        <v>258</v>
      </c>
      <c r="C442" s="4"/>
      <c r="D442" s="43" t="s">
        <v>508</v>
      </c>
      <c r="E442" s="44">
        <f>A101</f>
        <v>101</v>
      </c>
      <c r="F442" s="45"/>
      <c r="G442" s="21">
        <f>IF($E$1149=1,($L442),IF($E$1149=2,($M442),IF($E$1149=3,($N442),IF($E$1149=4,($O442),IF($E$1149=5,($P442),IF($E$1149=6,($Q442),IF($E$1149=7,($R442),IF($E$1149=8,($S442),0))))))))</f>
        <v>3079204.58</v>
      </c>
      <c r="H442" s="48">
        <f>IF($G101&lt;&gt;0,($G442)*(H101/$G101),0)</f>
        <v>2956485.9102211613</v>
      </c>
      <c r="I442" s="48">
        <f>IF($G101&lt;&gt;0,($G442)*(I101/$G101),0)</f>
        <v>122718.66977883907</v>
      </c>
      <c r="J442" s="20">
        <f t="shared" ref="J442" si="141">IF($E$1149=1,($G442),IF($E$1149=2,($G442),IF($E$1149=3,0,IF($E$1149=4,($H442),IF($E$1149=5,($I442),0)))))</f>
        <v>0</v>
      </c>
      <c r="L442" s="21">
        <v>3066270.58</v>
      </c>
      <c r="M442" s="21">
        <v>3079204.58</v>
      </c>
      <c r="N442" s="21">
        <v>3079204.58</v>
      </c>
      <c r="O442" s="21">
        <v>3079204.58</v>
      </c>
      <c r="P442" s="21">
        <v>3066270.58</v>
      </c>
      <c r="Q442" s="21">
        <v>3066270.58</v>
      </c>
      <c r="R442" s="21">
        <v>3079204.58</v>
      </c>
      <c r="S442" s="21">
        <v>3079204.58</v>
      </c>
    </row>
    <row r="443" spans="1:19" x14ac:dyDescent="0.2">
      <c r="A443" s="13">
        <f t="shared" si="125"/>
        <v>443</v>
      </c>
      <c r="B443" s="4" t="s">
        <v>5</v>
      </c>
      <c r="C443" s="4" t="s">
        <v>5</v>
      </c>
      <c r="D443" s="43" t="s">
        <v>5</v>
      </c>
      <c r="E443" s="44" t="s">
        <v>5</v>
      </c>
      <c r="F443" s="45"/>
      <c r="L443" s="21">
        <v>0</v>
      </c>
      <c r="M443" s="21">
        <v>0</v>
      </c>
      <c r="N443" s="21">
        <v>0</v>
      </c>
      <c r="O443" s="21">
        <v>0</v>
      </c>
      <c r="P443" s="21">
        <v>0</v>
      </c>
      <c r="Q443" s="21">
        <v>0</v>
      </c>
      <c r="R443" s="21">
        <v>0</v>
      </c>
      <c r="S443" s="21">
        <v>0</v>
      </c>
    </row>
    <row r="444" spans="1:19" x14ac:dyDescent="0.2">
      <c r="A444" s="13">
        <f t="shared" si="125"/>
        <v>444</v>
      </c>
      <c r="B444" s="4" t="s">
        <v>5</v>
      </c>
      <c r="C444" s="4" t="s">
        <v>259</v>
      </c>
      <c r="D444" s="43" t="s">
        <v>5</v>
      </c>
      <c r="E444" s="44" t="s">
        <v>5</v>
      </c>
      <c r="F444" s="45"/>
      <c r="G444" s="46">
        <f>SUM(G434+G435+G436+G440+G442)</f>
        <v>7450807.7200000007</v>
      </c>
      <c r="H444" s="46">
        <f t="shared" ref="H444:I444" si="142">SUM(H434+H435+H436+H440+H442)</f>
        <v>7153863.1070583351</v>
      </c>
      <c r="I444" s="46">
        <f t="shared" si="142"/>
        <v>296944.61294166592</v>
      </c>
      <c r="J444" s="20">
        <f t="shared" ref="J444" si="143">IF($E$1149=1,($G444),IF($E$1149=2,($G444),IF($E$1149=3,0,IF($E$1149=4,($H444),IF($E$1149=5,($I444),0)))))</f>
        <v>0</v>
      </c>
      <c r="L444" s="21">
        <v>0</v>
      </c>
      <c r="M444" s="21">
        <v>0</v>
      </c>
      <c r="N444" s="21">
        <v>0</v>
      </c>
      <c r="O444" s="21">
        <v>0</v>
      </c>
      <c r="P444" s="21">
        <v>0</v>
      </c>
      <c r="Q444" s="21">
        <v>0</v>
      </c>
      <c r="R444" s="21">
        <v>0</v>
      </c>
      <c r="S444" s="21">
        <v>0</v>
      </c>
    </row>
    <row r="445" spans="1:19" x14ac:dyDescent="0.2">
      <c r="A445" s="13">
        <f t="shared" si="125"/>
        <v>445</v>
      </c>
      <c r="B445" s="4" t="s">
        <v>5</v>
      </c>
      <c r="C445" s="4" t="s">
        <v>5</v>
      </c>
      <c r="D445" s="43" t="s">
        <v>5</v>
      </c>
      <c r="E445" s="44" t="s">
        <v>5</v>
      </c>
      <c r="F445" s="45"/>
      <c r="G445" s="46"/>
      <c r="H445" s="46"/>
      <c r="I445" s="46"/>
      <c r="L445" s="21">
        <v>0</v>
      </c>
      <c r="M445" s="21">
        <v>0</v>
      </c>
      <c r="N445" s="21">
        <v>0</v>
      </c>
      <c r="O445" s="21">
        <v>0</v>
      </c>
      <c r="P445" s="21">
        <v>0</v>
      </c>
      <c r="Q445" s="21">
        <v>0</v>
      </c>
      <c r="R445" s="21">
        <v>0</v>
      </c>
      <c r="S445" s="21">
        <v>0</v>
      </c>
    </row>
    <row r="446" spans="1:19" x14ac:dyDescent="0.2">
      <c r="A446" s="13">
        <f t="shared" si="125"/>
        <v>446</v>
      </c>
      <c r="B446" s="4" t="s">
        <v>5</v>
      </c>
      <c r="C446" s="4" t="s">
        <v>260</v>
      </c>
      <c r="D446" s="43" t="s">
        <v>5</v>
      </c>
      <c r="E446" s="44" t="s">
        <v>5</v>
      </c>
      <c r="F446" s="45"/>
      <c r="G446" s="46">
        <f>SUM(G431+G444)</f>
        <v>41740873.939999998</v>
      </c>
      <c r="H446" s="46">
        <f t="shared" ref="H446:I446" si="144">SUM(H431+H444)</f>
        <v>40074171.790450424</v>
      </c>
      <c r="I446" s="46">
        <f t="shared" si="144"/>
        <v>1666702.149549582</v>
      </c>
      <c r="J446" s="20">
        <f t="shared" ref="J446" si="145">IF($E$1149=1,($G446),IF($E$1149=2,($G446),IF($E$1149=3,0,IF($E$1149=4,($H446),IF($E$1149=5,($I446),0)))))</f>
        <v>0</v>
      </c>
      <c r="L446" s="21">
        <v>0</v>
      </c>
      <c r="M446" s="21">
        <v>0</v>
      </c>
      <c r="N446" s="21">
        <v>0</v>
      </c>
      <c r="O446" s="21">
        <v>0</v>
      </c>
      <c r="P446" s="21">
        <v>0</v>
      </c>
      <c r="Q446" s="21">
        <v>0</v>
      </c>
      <c r="R446" s="21">
        <v>0</v>
      </c>
      <c r="S446" s="21">
        <v>0</v>
      </c>
    </row>
    <row r="447" spans="1:19" x14ac:dyDescent="0.2">
      <c r="A447" s="13">
        <f t="shared" si="125"/>
        <v>447</v>
      </c>
      <c r="B447" s="38" t="str">
        <f>B378</f>
        <v>* * * TABLE 5 - OPERATION &amp; MAINTENANCE EXPENSES * * *</v>
      </c>
      <c r="C447" s="4"/>
      <c r="D447" s="43"/>
      <c r="E447" s="44"/>
      <c r="F447" s="45"/>
      <c r="L447" s="21">
        <v>0</v>
      </c>
      <c r="M447" s="21">
        <v>0</v>
      </c>
      <c r="N447" s="21">
        <v>0</v>
      </c>
      <c r="O447" s="21">
        <v>0</v>
      </c>
      <c r="P447" s="21">
        <v>0</v>
      </c>
      <c r="Q447" s="21">
        <v>0</v>
      </c>
      <c r="R447" s="21">
        <v>0</v>
      </c>
      <c r="S447" s="21">
        <v>0</v>
      </c>
    </row>
    <row r="448" spans="1:19" x14ac:dyDescent="0.2">
      <c r="A448" s="13">
        <f t="shared" si="125"/>
        <v>448</v>
      </c>
      <c r="B448" s="4" t="s">
        <v>261</v>
      </c>
      <c r="C448" s="4"/>
      <c r="D448" s="43"/>
      <c r="E448" s="44"/>
      <c r="F448" s="45"/>
      <c r="L448" s="21">
        <v>0</v>
      </c>
      <c r="M448" s="21">
        <v>0</v>
      </c>
      <c r="N448" s="21">
        <v>0</v>
      </c>
      <c r="O448" s="21">
        <v>0</v>
      </c>
      <c r="P448" s="21">
        <v>0</v>
      </c>
      <c r="Q448" s="21">
        <v>0</v>
      </c>
      <c r="R448" s="21">
        <v>0</v>
      </c>
      <c r="S448" s="21">
        <v>0</v>
      </c>
    </row>
    <row r="449" spans="1:19" x14ac:dyDescent="0.2">
      <c r="A449" s="13">
        <f t="shared" si="125"/>
        <v>449</v>
      </c>
      <c r="B449" s="4" t="s">
        <v>220</v>
      </c>
      <c r="C449" s="4"/>
      <c r="D449" s="43" t="s">
        <v>5</v>
      </c>
      <c r="E449" s="44" t="s">
        <v>5</v>
      </c>
      <c r="F449" s="45"/>
      <c r="L449" s="21">
        <v>0</v>
      </c>
      <c r="M449" s="21">
        <v>0</v>
      </c>
      <c r="N449" s="21">
        <v>0</v>
      </c>
      <c r="O449" s="21">
        <v>0</v>
      </c>
      <c r="P449" s="21">
        <v>0</v>
      </c>
      <c r="Q449" s="21">
        <v>0</v>
      </c>
      <c r="R449" s="21">
        <v>0</v>
      </c>
      <c r="S449" s="21">
        <v>0</v>
      </c>
    </row>
    <row r="450" spans="1:19" x14ac:dyDescent="0.2">
      <c r="A450" s="13">
        <f t="shared" si="125"/>
        <v>450</v>
      </c>
      <c r="B450" s="4" t="s">
        <v>262</v>
      </c>
      <c r="C450" s="4"/>
      <c r="D450" s="43" t="s">
        <v>508</v>
      </c>
      <c r="E450" s="44">
        <f>A888</f>
        <v>888</v>
      </c>
      <c r="F450" s="45"/>
      <c r="G450" s="21">
        <f>IF($E$1149=1,($L450),IF($E$1149=2,($M450),IF($E$1149=3,($N450),IF($E$1149=4,($O450),IF($E$1149=5,($P450),IF($E$1149=6,($Q450),IF($E$1149=7,($R450),IF($E$1149=8,($S450),0))))))))</f>
        <v>594099</v>
      </c>
      <c r="H450" s="48">
        <f>IF($G888&lt;&gt;0,($G450)*(H888/$G888),0)</f>
        <v>570421.76872070041</v>
      </c>
      <c r="I450" s="48">
        <f>IF($G888&lt;&gt;0,($G450)*(I888/$G888),0)</f>
        <v>23677.231279299573</v>
      </c>
      <c r="J450" s="20">
        <f t="shared" ref="J450" si="146">IF($E$1149=1,($G450),IF($E$1149=2,($G450),IF($E$1149=3,0,IF($E$1149=4,($H450),IF($E$1149=5,($I450),0)))))</f>
        <v>0</v>
      </c>
      <c r="L450" s="21">
        <v>590913</v>
      </c>
      <c r="M450" s="21">
        <v>594099</v>
      </c>
      <c r="N450" s="21">
        <v>594099</v>
      </c>
      <c r="O450" s="21">
        <v>594099</v>
      </c>
      <c r="P450" s="21">
        <v>590913</v>
      </c>
      <c r="Q450" s="21">
        <v>590913</v>
      </c>
      <c r="R450" s="21">
        <v>594099</v>
      </c>
      <c r="S450" s="21">
        <v>594099</v>
      </c>
    </row>
    <row r="451" spans="1:19" x14ac:dyDescent="0.2">
      <c r="A451" s="13">
        <f t="shared" ref="A451:A514" si="147">A450+1</f>
        <v>451</v>
      </c>
      <c r="B451" s="4" t="s">
        <v>263</v>
      </c>
      <c r="C451" s="4"/>
      <c r="D451" s="43"/>
      <c r="E451" s="44"/>
      <c r="F451" s="45"/>
      <c r="G451" s="21"/>
      <c r="H451" s="48"/>
      <c r="I451" s="48"/>
    </row>
    <row r="452" spans="1:19" x14ac:dyDescent="0.2">
      <c r="A452" s="13">
        <f t="shared" si="147"/>
        <v>452</v>
      </c>
      <c r="B452" s="4" t="s">
        <v>264</v>
      </c>
      <c r="C452" s="4"/>
      <c r="D452" s="43"/>
      <c r="E452" s="44" t="str">
        <f>(E$1010)</f>
        <v>E10</v>
      </c>
      <c r="F452" s="45"/>
      <c r="G452" s="21">
        <f>IF($E$1149=1,($L452),IF($E$1149=2,($M452),IF($E$1149=3,($N452),IF($E$1149=4,($O452),IF($E$1149=5,($P452),IF($E$1149=6,($Q452),IF($E$1149=7,($R452),IF($E$1149=8,($S452),0))))))))</f>
        <v>5548.67</v>
      </c>
      <c r="H452" s="48">
        <f>IF($G$1010&lt;&gt;0,($G452)*(H$1010/$G$1010),0)</f>
        <v>5303.5150239577861</v>
      </c>
      <c r="I452" s="48">
        <f>IF($G$1010&lt;&gt;0,($G452)*(I$1010/$G$1010),0)</f>
        <v>245.15497604221395</v>
      </c>
      <c r="J452" s="20">
        <f>IF($E$1149=1,($G452),IF($E$1149=2,($G452),IF($E$1149=3,0,IF($E$1149=4,($H452),IF($E$1149=5,($I452),0)))))</f>
        <v>0</v>
      </c>
      <c r="L452" s="21">
        <v>5548.67</v>
      </c>
      <c r="M452" s="21">
        <v>5548.67</v>
      </c>
      <c r="N452" s="21">
        <v>5548.67</v>
      </c>
      <c r="O452" s="21">
        <v>5548.67</v>
      </c>
      <c r="P452" s="21">
        <v>5548.67</v>
      </c>
      <c r="Q452" s="21">
        <v>5548.67</v>
      </c>
      <c r="R452" s="21">
        <v>5548.67</v>
      </c>
      <c r="S452" s="21">
        <v>5548.67</v>
      </c>
    </row>
    <row r="453" spans="1:19" x14ac:dyDescent="0.2">
      <c r="A453" s="13">
        <f t="shared" si="147"/>
        <v>453</v>
      </c>
      <c r="B453" s="4" t="s">
        <v>225</v>
      </c>
      <c r="C453" s="4"/>
      <c r="D453" s="43"/>
      <c r="E453" s="44" t="str">
        <f>(E$1010)</f>
        <v>E10</v>
      </c>
      <c r="F453" s="45"/>
      <c r="G453" s="21">
        <f>IF($E$1149=1,($L453),IF($E$1149=2,($M453),IF($E$1149=3,($N453),IF($E$1149=4,($O453),IF($E$1149=5,($P453),IF($E$1149=6,($Q453),IF($E$1149=7,($R453),IF($E$1149=8,($S453),0))))))))</f>
        <v>52511400</v>
      </c>
      <c r="H453" s="48">
        <f>IF($G$1010&lt;&gt;0,($G453)*(H$1010/$G$1010),0)</f>
        <v>50191306.894995898</v>
      </c>
      <c r="I453" s="48">
        <f>IF($G$1010&lt;&gt;0,($G453)*(I$1010/$G$1010),0)</f>
        <v>2320093.1050041025</v>
      </c>
      <c r="J453" s="20">
        <f>IF($E$1149=1,($G453),IF($E$1149=2,($G453),IF($E$1149=3,0,IF($E$1149=4,($H453),IF($E$1149=5,($I453),0)))))</f>
        <v>0</v>
      </c>
      <c r="L453" s="21">
        <v>85220406.650000006</v>
      </c>
      <c r="M453" s="21">
        <v>85220406.650000006</v>
      </c>
      <c r="N453" s="21">
        <v>85220406.650000006</v>
      </c>
      <c r="O453" s="21">
        <v>85220406.650000006</v>
      </c>
      <c r="P453" s="21">
        <v>85220406.650000006</v>
      </c>
      <c r="Q453" s="21">
        <v>85220406.650000006</v>
      </c>
      <c r="R453" s="21">
        <v>52511400</v>
      </c>
      <c r="S453" s="21">
        <v>85220406.650000006</v>
      </c>
    </row>
    <row r="454" spans="1:19" x14ac:dyDescent="0.2">
      <c r="A454" s="13">
        <f t="shared" si="147"/>
        <v>454</v>
      </c>
      <c r="B454" s="4"/>
      <c r="C454" s="4" t="s">
        <v>265</v>
      </c>
      <c r="D454" s="43" t="s">
        <v>5</v>
      </c>
      <c r="E454" s="44"/>
      <c r="F454" s="45"/>
      <c r="G454" s="46">
        <f>SUM(G452:G453)</f>
        <v>52516948.670000002</v>
      </c>
      <c r="H454" s="46">
        <f t="shared" ref="H454:I454" si="148">SUM(H452:H453)</f>
        <v>50196610.410019852</v>
      </c>
      <c r="I454" s="46">
        <f t="shared" si="148"/>
        <v>2320338.2599801444</v>
      </c>
      <c r="J454" s="20">
        <f>IF($E$1149=1,($G454),IF($E$1149=2,($G454),IF($E$1149=3,0,IF($E$1149=4,($H454),IF($E$1149=5,($I454),0)))))</f>
        <v>0</v>
      </c>
    </row>
    <row r="455" spans="1:19" x14ac:dyDescent="0.2">
      <c r="A455" s="13">
        <f t="shared" si="147"/>
        <v>455</v>
      </c>
      <c r="B455" s="4"/>
      <c r="C455" s="4"/>
      <c r="D455" s="43"/>
      <c r="E455" s="44"/>
      <c r="F455" s="45"/>
      <c r="G455" s="21"/>
      <c r="H455" s="48"/>
      <c r="I455" s="48"/>
    </row>
    <row r="456" spans="1:19" x14ac:dyDescent="0.2">
      <c r="A456" s="13">
        <f t="shared" si="147"/>
        <v>456</v>
      </c>
      <c r="B456" s="4" t="s">
        <v>266</v>
      </c>
      <c r="C456" s="4"/>
      <c r="D456" s="43" t="s">
        <v>5</v>
      </c>
      <c r="E456" s="44" t="s">
        <v>5</v>
      </c>
      <c r="F456" s="45"/>
      <c r="L456" s="21">
        <v>0</v>
      </c>
      <c r="M456" s="21">
        <v>0</v>
      </c>
      <c r="N456" s="21">
        <v>0</v>
      </c>
      <c r="O456" s="21">
        <v>0</v>
      </c>
      <c r="P456" s="21">
        <v>0</v>
      </c>
      <c r="Q456" s="21">
        <v>0</v>
      </c>
      <c r="R456" s="21">
        <v>0</v>
      </c>
      <c r="S456" s="21">
        <v>0</v>
      </c>
    </row>
    <row r="457" spans="1:19" x14ac:dyDescent="0.2">
      <c r="A457" s="13">
        <f t="shared" si="147"/>
        <v>457</v>
      </c>
      <c r="B457" s="4" t="s">
        <v>224</v>
      </c>
      <c r="C457" s="4"/>
      <c r="D457" s="43" t="s">
        <v>5</v>
      </c>
      <c r="E457" s="44" t="str">
        <f>(E$1004)</f>
        <v>D10</v>
      </c>
      <c r="F457" s="45"/>
      <c r="G457" s="21">
        <f>IF($E$1149=1,($L457),IF($E$1149=2,($M457),IF($E$1149=3,($N457),IF($E$1149=4,($O457),IF($E$1149=5,($P457),IF($E$1149=6,($Q457),IF($E$1149=7,($R457),IF($E$1149=8,($S457),0))))))))</f>
        <v>18732</v>
      </c>
      <c r="H457" s="48">
        <f>IF($G$1004&lt;&gt;0,($G457)*(H$1004/$G$1004),0)</f>
        <v>17985.454565108106</v>
      </c>
      <c r="I457" s="48">
        <f>IF($G$1004&lt;&gt;0,($G457)*(I$1004/$G$1004),0)</f>
        <v>746.5454348918945</v>
      </c>
      <c r="J457" s="20">
        <f>IF($E$1149=1,($G457),IF($E$1149=2,($G457),IF($E$1149=3,0,IF($E$1149=4,($H457),IF($E$1149=5,($I457),0)))))</f>
        <v>0</v>
      </c>
      <c r="L457" s="21">
        <v>0</v>
      </c>
      <c r="M457" s="21">
        <v>18732</v>
      </c>
      <c r="N457" s="21">
        <v>18732</v>
      </c>
      <c r="O457" s="21">
        <v>18732</v>
      </c>
      <c r="P457" s="21">
        <v>0</v>
      </c>
      <c r="Q457" s="21">
        <v>0</v>
      </c>
      <c r="R457" s="21">
        <v>18732</v>
      </c>
      <c r="S457" s="21">
        <v>18732</v>
      </c>
    </row>
    <row r="458" spans="1:19" x14ac:dyDescent="0.2">
      <c r="A458" s="13">
        <f t="shared" si="147"/>
        <v>458</v>
      </c>
      <c r="B458" s="4" t="s">
        <v>225</v>
      </c>
      <c r="C458" s="4"/>
      <c r="D458" s="43" t="s">
        <v>5</v>
      </c>
      <c r="E458" s="44" t="str">
        <f>(E$1010)</f>
        <v>E10</v>
      </c>
      <c r="F458" s="45"/>
      <c r="G458" s="21">
        <f>IF($E$1149=1,($L458),IF($E$1149=2,($M458),IF($E$1149=3,($N458),IF($E$1149=4,($O458),IF($E$1149=5,($P458),IF($E$1149=6,($Q458),IF($E$1149=7,($R458),IF($E$1149=8,($S458),0))))))))</f>
        <v>4772834</v>
      </c>
      <c r="H458" s="48">
        <f>IF($G$1010&lt;&gt;0,($G458)*(H$1010/$G$1010),0)</f>
        <v>4561957.5188029809</v>
      </c>
      <c r="I458" s="48">
        <f>IF($G$1010&lt;&gt;0,($G458)*(I$1010/$G$1010),0)</f>
        <v>210876.48119701914</v>
      </c>
      <c r="J458" s="20">
        <f>IF($E$1149=1,($G458),IF($E$1149=2,($G458),IF($E$1149=3,0,IF($E$1149=4,($H458),IF($E$1149=5,($I458),0)))))</f>
        <v>0</v>
      </c>
      <c r="L458" s="21">
        <v>4772834</v>
      </c>
      <c r="M458" s="21">
        <v>4772834</v>
      </c>
      <c r="N458" s="21">
        <v>4772834</v>
      </c>
      <c r="O458" s="21">
        <v>4772834</v>
      </c>
      <c r="P458" s="21">
        <v>4772834</v>
      </c>
      <c r="Q458" s="21">
        <v>4772834</v>
      </c>
      <c r="R458" s="21">
        <v>4772834</v>
      </c>
      <c r="S458" s="21">
        <v>4772834</v>
      </c>
    </row>
    <row r="459" spans="1:19" x14ac:dyDescent="0.2">
      <c r="A459" s="13">
        <f t="shared" si="147"/>
        <v>459</v>
      </c>
      <c r="B459" s="4" t="s">
        <v>5</v>
      </c>
      <c r="C459" s="4" t="s">
        <v>267</v>
      </c>
      <c r="D459" s="43" t="s">
        <v>5</v>
      </c>
      <c r="E459" s="44" t="s">
        <v>5</v>
      </c>
      <c r="F459" s="45"/>
      <c r="G459" s="46">
        <f>SUM(G457:G458)</f>
        <v>4791566</v>
      </c>
      <c r="H459" s="46">
        <f t="shared" ref="H459:I459" si="149">SUM(H457:H458)</f>
        <v>4579942.9733680887</v>
      </c>
      <c r="I459" s="46">
        <f t="shared" si="149"/>
        <v>211623.02663191102</v>
      </c>
      <c r="J459" s="20">
        <f>IF($E$1149=1,($G459),IF($E$1149=2,($G459),IF($E$1149=3,0,IF($E$1149=4,($H459),IF($E$1149=5,($I459),0)))))</f>
        <v>0</v>
      </c>
      <c r="L459" s="21">
        <v>0</v>
      </c>
      <c r="M459" s="21">
        <v>0</v>
      </c>
      <c r="N459" s="21">
        <v>0</v>
      </c>
      <c r="O459" s="21">
        <v>0</v>
      </c>
      <c r="P459" s="21">
        <v>0</v>
      </c>
      <c r="Q459" s="21">
        <v>0</v>
      </c>
      <c r="R459" s="21">
        <v>0</v>
      </c>
      <c r="S459" s="21">
        <v>0</v>
      </c>
    </row>
    <row r="460" spans="1:19" x14ac:dyDescent="0.2">
      <c r="A460" s="13">
        <f t="shared" si="147"/>
        <v>460</v>
      </c>
      <c r="B460" s="4" t="s">
        <v>5</v>
      </c>
      <c r="C460" s="4" t="s">
        <v>5</v>
      </c>
      <c r="D460" s="43" t="s">
        <v>5</v>
      </c>
      <c r="E460" s="44" t="s">
        <v>5</v>
      </c>
      <c r="F460" s="45"/>
      <c r="L460" s="21">
        <v>0</v>
      </c>
      <c r="M460" s="21">
        <v>0</v>
      </c>
      <c r="N460" s="21">
        <v>0</v>
      </c>
      <c r="O460" s="21">
        <v>0</v>
      </c>
      <c r="P460" s="21">
        <v>0</v>
      </c>
      <c r="Q460" s="21">
        <v>0</v>
      </c>
      <c r="R460" s="21">
        <v>0</v>
      </c>
      <c r="S460" s="21">
        <v>0</v>
      </c>
    </row>
    <row r="461" spans="1:19" x14ac:dyDescent="0.2">
      <c r="A461" s="13">
        <f t="shared" si="147"/>
        <v>461</v>
      </c>
      <c r="B461" s="4" t="s">
        <v>268</v>
      </c>
      <c r="C461" s="4"/>
      <c r="D461" s="43" t="s">
        <v>5</v>
      </c>
      <c r="E461" s="44" t="str">
        <f>(E$1004)</f>
        <v>D10</v>
      </c>
      <c r="F461" s="45"/>
      <c r="G461" s="21">
        <f>IF($E$1149=1,($L461),IF($E$1149=2,($M461),IF($E$1149=3,($N461),IF($E$1149=4,($O461),IF($E$1149=5,($P461),IF($E$1149=6,($Q461),IF($E$1149=7,($R461),IF($E$1149=8,($S461),0))))))))</f>
        <v>1477909</v>
      </c>
      <c r="H461" s="48">
        <f>IF($G$1004&lt;&gt;0,($G461)*(H$1004/$G$1004),0)</f>
        <v>1419008.39050098</v>
      </c>
      <c r="I461" s="48">
        <f>IF($G$1004&lt;&gt;0,($G461)*(I$1004/$G$1004),0)</f>
        <v>58900.609499020124</v>
      </c>
      <c r="J461" s="20">
        <f>IF($E$1149=1,($G461),IF($E$1149=2,($G461),IF($E$1149=3,0,IF($E$1149=4,($H461),IF($E$1149=5,($I461),0)))))</f>
        <v>0</v>
      </c>
      <c r="L461" s="21">
        <v>1475129</v>
      </c>
      <c r="M461" s="21">
        <v>1477909</v>
      </c>
      <c r="N461" s="21">
        <v>1477909</v>
      </c>
      <c r="O461" s="21">
        <v>1477909</v>
      </c>
      <c r="P461" s="21">
        <v>1475129</v>
      </c>
      <c r="Q461" s="21">
        <v>1475129</v>
      </c>
      <c r="R461" s="21">
        <v>1477909</v>
      </c>
      <c r="S461" s="21">
        <v>1477909</v>
      </c>
    </row>
    <row r="462" spans="1:19" x14ac:dyDescent="0.2">
      <c r="A462" s="13">
        <f t="shared" si="147"/>
        <v>462</v>
      </c>
      <c r="B462" s="4" t="s">
        <v>269</v>
      </c>
      <c r="C462" s="4"/>
      <c r="D462" s="43" t="s">
        <v>5</v>
      </c>
      <c r="E462" s="44" t="str">
        <f>(E$1004)</f>
        <v>D10</v>
      </c>
      <c r="F462" s="45"/>
      <c r="G462" s="21">
        <f>IF($E$1149=1,($L462),IF($E$1149=2,($M462),IF($E$1149=3,($N462),IF($E$1149=4,($O462),IF($E$1149=5,($P462),IF($E$1149=6,($Q462),IF($E$1149=7,($R462),IF($E$1149=8,($S462),0))))))))</f>
        <v>0</v>
      </c>
      <c r="H462" s="48">
        <f>IF($G$1004&lt;&gt;0,($G462)*(H$1004/$G$1004),0)</f>
        <v>0</v>
      </c>
      <c r="I462" s="48">
        <f>IF($G$1004&lt;&gt;0,($G462)*(I$1004/$G$1004),0)</f>
        <v>0</v>
      </c>
      <c r="J462" s="20">
        <f>IF($E$1149=1,($G462),IF($E$1149=2,($G462),IF($E$1149=3,0,IF($E$1149=4,($H462),IF($E$1149=5,($I462),0)))))</f>
        <v>0</v>
      </c>
      <c r="L462" s="21">
        <v>0</v>
      </c>
      <c r="M462" s="21">
        <v>0</v>
      </c>
      <c r="N462" s="21">
        <v>0</v>
      </c>
      <c r="O462" s="21">
        <v>0</v>
      </c>
      <c r="P462" s="21">
        <v>0</v>
      </c>
      <c r="Q462" s="21">
        <v>0</v>
      </c>
      <c r="R462" s="21">
        <v>0</v>
      </c>
      <c r="S462" s="21">
        <v>0</v>
      </c>
    </row>
    <row r="463" spans="1:19" x14ac:dyDescent="0.2">
      <c r="A463" s="13">
        <f t="shared" si="147"/>
        <v>463</v>
      </c>
      <c r="B463" s="4" t="str">
        <f>" "</f>
        <v xml:space="preserve"> </v>
      </c>
      <c r="C463" s="4" t="s">
        <v>39</v>
      </c>
      <c r="D463" s="43" t="s">
        <v>5</v>
      </c>
      <c r="E463" s="44" t="s">
        <v>5</v>
      </c>
      <c r="F463" s="45"/>
      <c r="L463" s="21">
        <v>0</v>
      </c>
      <c r="M463" s="21">
        <v>0</v>
      </c>
      <c r="N463" s="21">
        <v>0</v>
      </c>
      <c r="O463" s="21">
        <v>0</v>
      </c>
      <c r="P463" s="21">
        <v>0</v>
      </c>
      <c r="Q463" s="21">
        <v>0</v>
      </c>
      <c r="R463" s="21">
        <v>0</v>
      </c>
      <c r="S463" s="21">
        <v>0</v>
      </c>
    </row>
    <row r="464" spans="1:19" x14ac:dyDescent="0.2">
      <c r="A464" s="13">
        <f t="shared" si="147"/>
        <v>464</v>
      </c>
      <c r="B464" s="4" t="s">
        <v>5</v>
      </c>
      <c r="C464" s="4" t="s">
        <v>270</v>
      </c>
      <c r="D464" s="43" t="s">
        <v>5</v>
      </c>
      <c r="E464" s="44" t="s">
        <v>5</v>
      </c>
      <c r="F464" s="45"/>
      <c r="G464" s="46">
        <f>SUM(G450+G454+G459+G461+G462)</f>
        <v>59380522.670000002</v>
      </c>
      <c r="H464" s="46">
        <f t="shared" ref="H464:I464" si="150">SUM(H450+H454+H459+H461+H462)</f>
        <v>56765983.542609617</v>
      </c>
      <c r="I464" s="46">
        <f t="shared" si="150"/>
        <v>2614539.1273903749</v>
      </c>
      <c r="J464" s="20">
        <f t="shared" ref="J464" si="151">IF($E$1149=1,($G464),IF($E$1149=2,($G464),IF($E$1149=3,0,IF($E$1149=4,($H464),IF($E$1149=5,($I464),0)))))</f>
        <v>0</v>
      </c>
      <c r="L464" s="21">
        <v>0</v>
      </c>
      <c r="M464" s="21">
        <v>0</v>
      </c>
      <c r="N464" s="21">
        <v>0</v>
      </c>
      <c r="O464" s="21">
        <v>0</v>
      </c>
      <c r="P464" s="21">
        <v>0</v>
      </c>
      <c r="Q464" s="21">
        <v>0</v>
      </c>
      <c r="R464" s="21">
        <v>0</v>
      </c>
      <c r="S464" s="21">
        <v>0</v>
      </c>
    </row>
    <row r="465" spans="1:19" x14ac:dyDescent="0.2">
      <c r="A465" s="13">
        <f t="shared" si="147"/>
        <v>465</v>
      </c>
      <c r="B465" s="4" t="s">
        <v>5</v>
      </c>
      <c r="C465" s="4" t="s">
        <v>5</v>
      </c>
      <c r="D465" s="43" t="s">
        <v>5</v>
      </c>
      <c r="E465" s="44" t="s">
        <v>5</v>
      </c>
      <c r="F465" s="45"/>
      <c r="L465" s="21">
        <v>0</v>
      </c>
      <c r="M465" s="21">
        <v>0</v>
      </c>
      <c r="N465" s="21">
        <v>0</v>
      </c>
      <c r="O465" s="21">
        <v>0</v>
      </c>
      <c r="P465" s="21">
        <v>0</v>
      </c>
      <c r="Q465" s="21">
        <v>0</v>
      </c>
      <c r="R465" s="21">
        <v>0</v>
      </c>
      <c r="S465" s="21">
        <v>0</v>
      </c>
    </row>
    <row r="466" spans="1:19" x14ac:dyDescent="0.2">
      <c r="A466" s="13">
        <f t="shared" si="147"/>
        <v>466</v>
      </c>
      <c r="B466" s="4" t="s">
        <v>232</v>
      </c>
      <c r="C466" s="4"/>
      <c r="D466" s="43"/>
      <c r="E466" s="44"/>
      <c r="F466" s="45"/>
      <c r="L466" s="21">
        <v>0</v>
      </c>
      <c r="M466" s="21">
        <v>0</v>
      </c>
      <c r="N466" s="21">
        <v>0</v>
      </c>
      <c r="O466" s="21">
        <v>0</v>
      </c>
      <c r="P466" s="21">
        <v>0</v>
      </c>
      <c r="Q466" s="21">
        <v>0</v>
      </c>
      <c r="R466" s="21">
        <v>0</v>
      </c>
      <c r="S466" s="21">
        <v>0</v>
      </c>
    </row>
    <row r="467" spans="1:19" x14ac:dyDescent="0.2">
      <c r="A467" s="13">
        <f t="shared" si="147"/>
        <v>467</v>
      </c>
      <c r="B467" s="4" t="s">
        <v>271</v>
      </c>
      <c r="C467" s="4"/>
      <c r="D467" s="43" t="s">
        <v>508</v>
      </c>
      <c r="E467" s="44">
        <f>A894</f>
        <v>894</v>
      </c>
      <c r="F467" s="45"/>
      <c r="G467" s="21">
        <f>IF($E$1149=1,($L467),IF($E$1149=2,($M467),IF($E$1149=3,($N467),IF($E$1149=4,($O467),IF($E$1149=5,($P467),IF($E$1149=6,($Q467),IF($E$1149=7,($R467),IF($E$1149=8,($S467),0))))))))</f>
        <v>0</v>
      </c>
      <c r="H467" s="48">
        <f>IF($G894&lt;&gt;0,($G467)*(H894/$G894),0)</f>
        <v>0</v>
      </c>
      <c r="I467" s="48">
        <f>IF($G894&lt;&gt;0,($G467)*(I894/$G894),0)</f>
        <v>0</v>
      </c>
      <c r="J467" s="20">
        <f>IF($E$1149=1,($G467),IF($E$1149=2,($G467),IF($E$1149=3,0,IF($E$1149=4,($H467),IF($E$1149=5,($I467),0)))))</f>
        <v>0</v>
      </c>
      <c r="L467" s="21">
        <v>0</v>
      </c>
      <c r="M467" s="21">
        <v>0</v>
      </c>
      <c r="N467" s="21">
        <v>0</v>
      </c>
      <c r="O467" s="21">
        <v>0</v>
      </c>
      <c r="P467" s="21">
        <v>0</v>
      </c>
      <c r="Q467" s="21">
        <v>0</v>
      </c>
      <c r="R467" s="21">
        <v>0</v>
      </c>
      <c r="S467" s="21">
        <v>0</v>
      </c>
    </row>
    <row r="468" spans="1:19" x14ac:dyDescent="0.2">
      <c r="A468" s="13">
        <f t="shared" si="147"/>
        <v>468</v>
      </c>
      <c r="B468" s="4" t="s">
        <v>272</v>
      </c>
      <c r="C468" s="4"/>
      <c r="D468" s="43" t="s">
        <v>5</v>
      </c>
      <c r="E468" s="44" t="str">
        <f>(E$1004)</f>
        <v>D10</v>
      </c>
      <c r="F468" s="45"/>
      <c r="G468" s="21">
        <f>IF($E$1149=1,($L468),IF($E$1149=2,($M468),IF($E$1149=3,($N468),IF($E$1149=4,($O468),IF($E$1149=5,($P468),IF($E$1149=6,($Q468),IF($E$1149=7,($R468),IF($E$1149=8,($S468),0))))))))</f>
        <v>164226.65</v>
      </c>
      <c r="H468" s="48">
        <f>IF($G$1004&lt;&gt;0,($G468)*(H$1004/$G$1004),0)</f>
        <v>157681.55840032626</v>
      </c>
      <c r="I468" s="48">
        <f>IF($G$1004&lt;&gt;0,($G468)*(I$1004/$G$1004),0)</f>
        <v>6545.091599673764</v>
      </c>
      <c r="J468" s="20">
        <f>IF($E$1149=1,($G468),IF($E$1149=2,($G468),IF($E$1149=3,0,IF($E$1149=4,($H468),IF($E$1149=5,($I468),0)))))</f>
        <v>0</v>
      </c>
      <c r="L468" s="21">
        <v>163958.65</v>
      </c>
      <c r="M468" s="21">
        <v>164226.65</v>
      </c>
      <c r="N468" s="21">
        <v>164226.65</v>
      </c>
      <c r="O468" s="21">
        <v>164226.65</v>
      </c>
      <c r="P468" s="21">
        <v>163958.65</v>
      </c>
      <c r="Q468" s="21">
        <v>163958.65</v>
      </c>
      <c r="R468" s="21">
        <v>164226.65</v>
      </c>
      <c r="S468" s="21">
        <v>164226.65</v>
      </c>
    </row>
    <row r="469" spans="1:19" x14ac:dyDescent="0.2">
      <c r="A469" s="13">
        <f t="shared" si="147"/>
        <v>469</v>
      </c>
      <c r="B469" s="4" t="s">
        <v>273</v>
      </c>
      <c r="C469" s="4"/>
      <c r="D469" s="43" t="s">
        <v>5</v>
      </c>
      <c r="E469" s="44" t="s">
        <v>5</v>
      </c>
      <c r="F469" s="45"/>
      <c r="L469" s="21">
        <v>0</v>
      </c>
      <c r="M469" s="21">
        <v>0</v>
      </c>
      <c r="N469" s="21">
        <v>0</v>
      </c>
      <c r="O469" s="21">
        <v>0</v>
      </c>
      <c r="P469" s="21">
        <v>0</v>
      </c>
      <c r="Q469" s="21">
        <v>0</v>
      </c>
      <c r="R469" s="21">
        <v>0</v>
      </c>
      <c r="S469" s="21">
        <v>0</v>
      </c>
    </row>
    <row r="470" spans="1:19" x14ac:dyDescent="0.2">
      <c r="A470" s="13">
        <f t="shared" si="147"/>
        <v>470</v>
      </c>
      <c r="B470" s="4" t="s">
        <v>224</v>
      </c>
      <c r="C470" s="4"/>
      <c r="D470" s="43" t="s">
        <v>5</v>
      </c>
      <c r="E470" s="44" t="str">
        <f>(E$1004)</f>
        <v>D10</v>
      </c>
      <c r="F470" s="45"/>
      <c r="G470" s="21">
        <f>IF($E$1149=1,($L470),IF($E$1149=2,($M470),IF($E$1149=3,($N470),IF($E$1149=4,($O470),IF($E$1149=5,($P470),IF($E$1149=6,($Q470),IF($E$1149=7,($R470),IF($E$1149=8,($S470),0))))))))</f>
        <v>40045.21</v>
      </c>
      <c r="H470" s="48">
        <f>IF($G$1004&lt;&gt;0,($G470)*(H$1004/$G$1004),0)</f>
        <v>38449.247544587488</v>
      </c>
      <c r="I470" s="48">
        <f>IF($G$1004&lt;&gt;0,($G470)*(I$1004/$G$1004),0)</f>
        <v>1595.9624554125157</v>
      </c>
      <c r="J470" s="20">
        <f>IF($E$1149=1,($G470),IF($E$1149=2,($G470),IF($E$1149=3,0,IF($E$1149=4,($H470),IF($E$1149=5,($I470),0)))))</f>
        <v>0</v>
      </c>
      <c r="L470" s="21">
        <v>39802.21</v>
      </c>
      <c r="M470" s="21">
        <v>40045.21</v>
      </c>
      <c r="N470" s="21">
        <v>40045.21</v>
      </c>
      <c r="O470" s="21">
        <v>40045.21</v>
      </c>
      <c r="P470" s="21">
        <v>39802.21</v>
      </c>
      <c r="Q470" s="21">
        <v>39802.21</v>
      </c>
      <c r="R470" s="21">
        <v>40045.21</v>
      </c>
      <c r="S470" s="21">
        <v>40045.21</v>
      </c>
    </row>
    <row r="471" spans="1:19" x14ac:dyDescent="0.2">
      <c r="A471" s="13">
        <f t="shared" si="147"/>
        <v>471</v>
      </c>
      <c r="B471" s="4" t="s">
        <v>225</v>
      </c>
      <c r="C471" s="4"/>
      <c r="D471" s="43" t="s">
        <v>5</v>
      </c>
      <c r="E471" s="44" t="str">
        <f>(E$1010)</f>
        <v>E10</v>
      </c>
      <c r="F471" s="45"/>
      <c r="G471" s="21">
        <f>IF($E$1149=1,($L471),IF($E$1149=2,($M471),IF($E$1149=3,($N471),IF($E$1149=4,($O471),IF($E$1149=5,($P471),IF($E$1149=6,($Q471),IF($E$1149=7,($R471),IF($E$1149=8,($S471),0))))))))</f>
        <v>32941.79</v>
      </c>
      <c r="H471" s="48">
        <f>IF($G$1010&lt;&gt;0,($G471)*(H$1010/$G$1010),0)</f>
        <v>31486.334235242386</v>
      </c>
      <c r="I471" s="48">
        <f>IF($G$1010&lt;&gt;0,($G471)*(I$1010/$G$1010),0)</f>
        <v>1455.4557647576164</v>
      </c>
      <c r="J471" s="20">
        <f>IF($E$1149=1,($G471),IF($E$1149=2,($G471),IF($E$1149=3,0,IF($E$1149=4,($H471),IF($E$1149=5,($I471),0)))))</f>
        <v>0</v>
      </c>
      <c r="L471" s="21">
        <v>32941.79</v>
      </c>
      <c r="M471" s="21">
        <v>32941.79</v>
      </c>
      <c r="N471" s="21">
        <v>32941.79</v>
      </c>
      <c r="O471" s="21">
        <v>32941.79</v>
      </c>
      <c r="P471" s="21">
        <v>32941.79</v>
      </c>
      <c r="Q471" s="21">
        <v>32941.79</v>
      </c>
      <c r="R471" s="21">
        <v>32941.79</v>
      </c>
      <c r="S471" s="21">
        <v>32941.79</v>
      </c>
    </row>
    <row r="472" spans="1:19" x14ac:dyDescent="0.2">
      <c r="A472" s="13">
        <f t="shared" si="147"/>
        <v>472</v>
      </c>
      <c r="B472" s="4" t="s">
        <v>5</v>
      </c>
      <c r="C472" s="4" t="s">
        <v>274</v>
      </c>
      <c r="D472" s="43" t="s">
        <v>5</v>
      </c>
      <c r="E472" s="44" t="s">
        <v>5</v>
      </c>
      <c r="F472" s="45"/>
      <c r="G472" s="46">
        <f>SUM(G470:G471)</f>
        <v>72987</v>
      </c>
      <c r="H472" s="46">
        <f t="shared" ref="H472:I472" si="152">SUM(H470:H471)</f>
        <v>69935.581779829867</v>
      </c>
      <c r="I472" s="46">
        <f t="shared" si="152"/>
        <v>3051.4182201701324</v>
      </c>
      <c r="J472" s="20">
        <f>IF($E$1149=1,($G472),IF($E$1149=2,($G472),IF($E$1149=3,0,IF($E$1149=4,($H472),IF($E$1149=5,($I472),0)))))</f>
        <v>0</v>
      </c>
      <c r="L472" s="21">
        <v>0</v>
      </c>
      <c r="M472" s="21">
        <v>0</v>
      </c>
      <c r="N472" s="21">
        <v>0</v>
      </c>
      <c r="O472" s="21">
        <v>0</v>
      </c>
      <c r="P472" s="21">
        <v>0</v>
      </c>
      <c r="Q472" s="21">
        <v>0</v>
      </c>
      <c r="R472" s="21">
        <v>0</v>
      </c>
      <c r="S472" s="21">
        <v>0</v>
      </c>
    </row>
    <row r="473" spans="1:19" x14ac:dyDescent="0.2">
      <c r="A473" s="13">
        <f t="shared" si="147"/>
        <v>473</v>
      </c>
      <c r="B473" s="4" t="s">
        <v>5</v>
      </c>
      <c r="C473" s="4" t="s">
        <v>5</v>
      </c>
      <c r="D473" s="43" t="s">
        <v>5</v>
      </c>
      <c r="E473" s="44" t="s">
        <v>5</v>
      </c>
      <c r="F473" s="45"/>
      <c r="L473" s="21">
        <v>0</v>
      </c>
      <c r="M473" s="21">
        <v>0</v>
      </c>
      <c r="N473" s="21">
        <v>0</v>
      </c>
      <c r="O473" s="21">
        <v>0</v>
      </c>
      <c r="P473" s="21">
        <v>0</v>
      </c>
      <c r="Q473" s="21">
        <v>0</v>
      </c>
      <c r="R473" s="21">
        <v>0</v>
      </c>
      <c r="S473" s="21">
        <v>0</v>
      </c>
    </row>
    <row r="474" spans="1:19" x14ac:dyDescent="0.2">
      <c r="A474" s="13">
        <f t="shared" si="147"/>
        <v>474</v>
      </c>
      <c r="B474" s="4" t="s">
        <v>275</v>
      </c>
      <c r="C474" s="25"/>
      <c r="D474" s="43" t="s">
        <v>508</v>
      </c>
      <c r="E474" s="44">
        <f>A103</f>
        <v>103</v>
      </c>
      <c r="F474" s="45"/>
      <c r="G474" s="21">
        <f>IF($E$1149=1,($L474),IF($E$1149=2,($M474),IF($E$1149=3,($N474),IF($E$1149=4,($O474),IF($E$1149=5,($P474),IF($E$1149=6,($Q474),IF($E$1149=7,($R474),IF($E$1149=8,($S474),0))))))))</f>
        <v>2188095</v>
      </c>
      <c r="H474" s="48">
        <f>IF($G103&lt;&gt;0,($G474)*(H103/$G103),0)</f>
        <v>2100890.6260217931</v>
      </c>
      <c r="I474" s="48">
        <f>IF($G103&lt;&gt;0,($G474)*(I103/$G103),0)</f>
        <v>87204.373978207339</v>
      </c>
      <c r="J474" s="20">
        <f>IF($E$1149=1,($G474),IF($E$1149=2,($G474),IF($E$1149=3,0,IF($E$1149=4,($H474),IF($E$1149=5,($I474),0)))))</f>
        <v>0</v>
      </c>
      <c r="L474" s="21">
        <v>2184732</v>
      </c>
      <c r="M474" s="21">
        <v>2188095</v>
      </c>
      <c r="N474" s="21">
        <v>2188095</v>
      </c>
      <c r="O474" s="21">
        <v>2188095</v>
      </c>
      <c r="P474" s="21">
        <v>2184732</v>
      </c>
      <c r="Q474" s="21">
        <v>2184732</v>
      </c>
      <c r="R474" s="21">
        <v>2188095</v>
      </c>
      <c r="S474" s="21">
        <v>2188095</v>
      </c>
    </row>
    <row r="475" spans="1:19" x14ac:dyDescent="0.2">
      <c r="A475" s="13">
        <f t="shared" si="147"/>
        <v>475</v>
      </c>
      <c r="B475" s="4" t="s">
        <v>5</v>
      </c>
      <c r="C475" s="4" t="s">
        <v>276</v>
      </c>
      <c r="D475" s="43" t="s">
        <v>5</v>
      </c>
      <c r="E475" s="44" t="s">
        <v>5</v>
      </c>
      <c r="F475" s="45"/>
      <c r="G475" s="46">
        <f>SUM(G467+G468+G472+G474)</f>
        <v>2425308.65</v>
      </c>
      <c r="H475" s="46">
        <f t="shared" ref="H475:I475" si="153">SUM(H467+H468+H472+H474)</f>
        <v>2328507.7662019492</v>
      </c>
      <c r="I475" s="46">
        <f t="shared" si="153"/>
        <v>96800.883798051233</v>
      </c>
      <c r="J475" s="20">
        <f>IF($E$1149=1,($G475),IF($E$1149=2,($G475),IF($E$1149=3,0,IF($E$1149=4,($H475),IF($E$1149=5,($I475),0)))))</f>
        <v>0</v>
      </c>
      <c r="L475" s="21">
        <v>0</v>
      </c>
      <c r="M475" s="21">
        <v>0</v>
      </c>
      <c r="N475" s="21">
        <v>0</v>
      </c>
      <c r="O475" s="21">
        <v>0</v>
      </c>
      <c r="P475" s="21">
        <v>0</v>
      </c>
      <c r="Q475" s="21">
        <v>0</v>
      </c>
      <c r="R475" s="21">
        <v>0</v>
      </c>
      <c r="S475" s="21">
        <v>0</v>
      </c>
    </row>
    <row r="476" spans="1:19" x14ac:dyDescent="0.2">
      <c r="A476" s="13">
        <f t="shared" si="147"/>
        <v>476</v>
      </c>
      <c r="B476" s="4" t="s">
        <v>39</v>
      </c>
      <c r="C476" s="4" t="s">
        <v>39</v>
      </c>
      <c r="D476" s="43" t="s">
        <v>5</v>
      </c>
      <c r="E476" s="44" t="s">
        <v>5</v>
      </c>
      <c r="F476" s="45"/>
      <c r="G476" s="46"/>
      <c r="H476" s="46"/>
      <c r="I476" s="46"/>
      <c r="L476" s="21">
        <v>0</v>
      </c>
      <c r="M476" s="21">
        <v>0</v>
      </c>
      <c r="N476" s="21">
        <v>0</v>
      </c>
      <c r="O476" s="21">
        <v>0</v>
      </c>
      <c r="P476" s="21">
        <v>0</v>
      </c>
      <c r="Q476" s="21">
        <v>0</v>
      </c>
      <c r="R476" s="21">
        <v>0</v>
      </c>
      <c r="S476" s="21">
        <v>0</v>
      </c>
    </row>
    <row r="477" spans="1:19" x14ac:dyDescent="0.2">
      <c r="A477" s="13">
        <f t="shared" si="147"/>
        <v>477</v>
      </c>
      <c r="B477" s="4" t="s">
        <v>5</v>
      </c>
      <c r="C477" s="4" t="s">
        <v>277</v>
      </c>
      <c r="D477" s="43" t="s">
        <v>5</v>
      </c>
      <c r="E477" s="44" t="s">
        <v>5</v>
      </c>
      <c r="F477" s="45"/>
      <c r="G477" s="46">
        <f>SUM(G464+G475)</f>
        <v>61805831.32</v>
      </c>
      <c r="H477" s="46">
        <f t="shared" ref="H477:I477" si="154">SUM(H464+H475)</f>
        <v>59094491.308811568</v>
      </c>
      <c r="I477" s="46">
        <f t="shared" si="154"/>
        <v>2711340.0111884261</v>
      </c>
      <c r="J477" s="20">
        <f t="shared" ref="J477" si="155">IF($E$1149=1,($G477),IF($E$1149=2,($G477),IF($E$1149=3,0,IF($E$1149=4,($H477),IF($E$1149=5,($I477),0)))))</f>
        <v>0</v>
      </c>
      <c r="L477" s="21">
        <v>0</v>
      </c>
      <c r="M477" s="21">
        <v>0</v>
      </c>
      <c r="N477" s="21">
        <v>0</v>
      </c>
      <c r="O477" s="21">
        <v>0</v>
      </c>
      <c r="P477" s="21">
        <v>0</v>
      </c>
      <c r="Q477" s="21">
        <v>0</v>
      </c>
      <c r="R477" s="21">
        <v>0</v>
      </c>
      <c r="S477" s="21">
        <v>0</v>
      </c>
    </row>
    <row r="478" spans="1:19" x14ac:dyDescent="0.2">
      <c r="A478" s="13">
        <f t="shared" si="147"/>
        <v>478</v>
      </c>
      <c r="B478" s="4" t="str">
        <f>" "</f>
        <v xml:space="preserve"> </v>
      </c>
      <c r="C478" s="4"/>
      <c r="D478" s="43" t="s">
        <v>5</v>
      </c>
      <c r="E478" s="44" t="s">
        <v>5</v>
      </c>
      <c r="F478" s="45"/>
      <c r="L478" s="21">
        <v>0</v>
      </c>
      <c r="M478" s="21">
        <v>0</v>
      </c>
      <c r="N478" s="21">
        <v>0</v>
      </c>
      <c r="O478" s="21">
        <v>0</v>
      </c>
      <c r="P478" s="21">
        <v>0</v>
      </c>
      <c r="Q478" s="21">
        <v>0</v>
      </c>
      <c r="R478" s="21">
        <v>0</v>
      </c>
      <c r="S478" s="21">
        <v>0</v>
      </c>
    </row>
    <row r="479" spans="1:19" x14ac:dyDescent="0.2">
      <c r="A479" s="13">
        <f t="shared" si="147"/>
        <v>479</v>
      </c>
      <c r="B479" s="4" t="s">
        <v>278</v>
      </c>
      <c r="C479" s="4"/>
      <c r="D479" s="43"/>
      <c r="E479" s="44"/>
      <c r="F479" s="45"/>
      <c r="L479" s="21">
        <v>0</v>
      </c>
      <c r="M479" s="21">
        <v>0</v>
      </c>
      <c r="N479" s="21">
        <v>0</v>
      </c>
      <c r="O479" s="21">
        <v>0</v>
      </c>
      <c r="P479" s="21">
        <v>0</v>
      </c>
      <c r="Q479" s="21">
        <v>0</v>
      </c>
      <c r="R479" s="21">
        <v>0</v>
      </c>
      <c r="S479" s="21">
        <v>0</v>
      </c>
    </row>
    <row r="480" spans="1:19" x14ac:dyDescent="0.2">
      <c r="A480" s="13">
        <f t="shared" si="147"/>
        <v>480</v>
      </c>
      <c r="B480" s="4" t="s">
        <v>515</v>
      </c>
      <c r="C480" s="25"/>
      <c r="D480" s="43" t="s">
        <v>5</v>
      </c>
      <c r="E480" s="44" t="s">
        <v>5</v>
      </c>
      <c r="F480" s="45"/>
      <c r="L480" s="21">
        <v>0</v>
      </c>
      <c r="M480" s="21">
        <v>0</v>
      </c>
      <c r="N480" s="21">
        <v>0</v>
      </c>
      <c r="O480" s="21">
        <v>0</v>
      </c>
      <c r="P480" s="21">
        <v>0</v>
      </c>
      <c r="Q480" s="21">
        <v>0</v>
      </c>
      <c r="R480" s="21">
        <v>0</v>
      </c>
      <c r="S480" s="21">
        <v>0</v>
      </c>
    </row>
    <row r="481" spans="1:19" x14ac:dyDescent="0.2">
      <c r="A481" s="13">
        <f t="shared" si="147"/>
        <v>481</v>
      </c>
      <c r="B481" s="4" t="s">
        <v>279</v>
      </c>
      <c r="C481" s="9"/>
      <c r="D481" s="43"/>
      <c r="E481" s="44" t="str">
        <f>(E$1010)</f>
        <v>E10</v>
      </c>
      <c r="F481" s="45"/>
      <c r="G481" s="21">
        <f>IF($E$1149=1,($L481),IF($E$1149=2,($M481),IF($E$1149=3,($N481),IF($E$1149=4,($O481),IF($E$1149=5,($P481),IF($E$1149=6,($Q481),IF($E$1149=7,($R481),IF($E$1149=8,($S481),0))))))))</f>
        <v>1595607</v>
      </c>
      <c r="H481" s="48">
        <f>IF($G$1010&lt;&gt;0,($G481)*(H$1010/$G$1010),0)</f>
        <v>1525108.8453327033</v>
      </c>
      <c r="I481" s="48">
        <f>IF($G$1010&lt;&gt;0,($G481)*(I$1010/$G$1010),0)</f>
        <v>70498.154667296636</v>
      </c>
      <c r="J481" s="20">
        <f>IF($E$1149=1,($G481),IF($E$1149=2,($G481),IF($E$1149=3,0,IF($E$1149=4,($H481),IF($E$1149=5,($I481),0)))))</f>
        <v>0</v>
      </c>
      <c r="L481" s="21">
        <v>1595607</v>
      </c>
      <c r="M481" s="21">
        <v>1595607</v>
      </c>
      <c r="N481" s="21">
        <v>1595607</v>
      </c>
      <c r="O481" s="21">
        <v>1595607</v>
      </c>
      <c r="P481" s="21">
        <v>1595607</v>
      </c>
      <c r="Q481" s="21">
        <v>1595607</v>
      </c>
      <c r="R481" s="21">
        <v>1595607</v>
      </c>
      <c r="S481" s="21">
        <v>1595607</v>
      </c>
    </row>
    <row r="482" spans="1:19" x14ac:dyDescent="0.2">
      <c r="A482" s="13">
        <f t="shared" si="147"/>
        <v>482</v>
      </c>
      <c r="B482" s="4" t="s">
        <v>280</v>
      </c>
      <c r="C482" s="9"/>
      <c r="D482" s="43"/>
      <c r="E482" s="44" t="s">
        <v>516</v>
      </c>
      <c r="F482" s="45"/>
      <c r="G482" s="21">
        <f>IF($E$1149=1,($L482),IF($E$1149=2,($M482),IF($E$1149=3,($N482),IF($E$1149=4,($O482),IF($E$1149=5,($P482),IF($E$1149=6,($Q482),IF($E$1149=7,($R482),IF($E$1149=8,($S482),0))))))))</f>
        <v>11252265</v>
      </c>
      <c r="H482" s="48">
        <f>IF($G$1049&lt;&gt;0,($G482)*(H$1049/$G$1049),0)</f>
        <v>11252265</v>
      </c>
      <c r="I482" s="48">
        <f>IF($G$1049&lt;&gt;0,($G482)*(I$1049/$G$1049),0)</f>
        <v>0</v>
      </c>
      <c r="J482" s="20">
        <f>IF($E$1149=1,($G482),IF($E$1149=2,($G482),IF($E$1149=3,0,IF($E$1149=4,($H482),IF($E$1149=5,($I482),0)))))</f>
        <v>0</v>
      </c>
      <c r="L482" s="21">
        <v>11252265</v>
      </c>
      <c r="M482" s="21">
        <v>11252265</v>
      </c>
      <c r="N482" s="21">
        <v>11252265</v>
      </c>
      <c r="O482" s="21">
        <v>11252265</v>
      </c>
      <c r="P482" s="21">
        <v>11252265</v>
      </c>
      <c r="Q482" s="21">
        <v>11252265</v>
      </c>
      <c r="R482" s="21">
        <v>11252265</v>
      </c>
      <c r="S482" s="21">
        <v>11252265</v>
      </c>
    </row>
    <row r="483" spans="1:19" x14ac:dyDescent="0.2">
      <c r="A483" s="13">
        <f t="shared" si="147"/>
        <v>483</v>
      </c>
      <c r="B483" s="4" t="s">
        <v>281</v>
      </c>
      <c r="C483" s="9"/>
      <c r="D483" s="43"/>
      <c r="E483" s="44" t="str">
        <f>(E$1010)</f>
        <v>E10</v>
      </c>
      <c r="F483" s="45"/>
      <c r="G483" s="21">
        <f>IF($E$1149=1,($L483),IF($E$1149=2,($M483),IF($E$1149=3,($N483),IF($E$1149=4,($O483),IF($E$1149=5,($P483),IF($E$1149=6,($Q483),IF($E$1149=7,($R483),IF($E$1149=8,($S483),0))))))))</f>
        <v>89425400</v>
      </c>
      <c r="H483" s="48">
        <f>IF($G$1010&lt;&gt;0,($G483)*(H$1010/$G$1010),0)</f>
        <v>85474348.343555227</v>
      </c>
      <c r="I483" s="48">
        <f>IF($G$1010&lt;&gt;0,($G483)*(I$1010/$G$1010),0)</f>
        <v>3951051.6564447694</v>
      </c>
      <c r="J483" s="20">
        <f>IF($E$1149=1,($G483),IF($E$1149=2,($G483),IF($E$1149=3,0,IF($E$1149=4,($H483),IF($E$1149=5,($I483),0)))))</f>
        <v>0</v>
      </c>
      <c r="L483" s="21">
        <v>174084655.66</v>
      </c>
      <c r="M483" s="21">
        <v>174084655.66</v>
      </c>
      <c r="N483" s="21">
        <v>174084655.66</v>
      </c>
      <c r="O483" s="21">
        <v>174084655.66</v>
      </c>
      <c r="P483" s="21">
        <v>174084655.66</v>
      </c>
      <c r="Q483" s="21">
        <v>174084655.66</v>
      </c>
      <c r="R483" s="21">
        <v>89425400</v>
      </c>
      <c r="S483" s="21">
        <v>174084655.66</v>
      </c>
    </row>
    <row r="484" spans="1:19" x14ac:dyDescent="0.2">
      <c r="A484" s="13">
        <f t="shared" si="147"/>
        <v>484</v>
      </c>
      <c r="B484" s="4"/>
      <c r="C484" s="4" t="s">
        <v>282</v>
      </c>
      <c r="D484" s="43" t="s">
        <v>5</v>
      </c>
      <c r="E484" s="44"/>
      <c r="F484" s="45"/>
      <c r="G484" s="46">
        <f>SUM(G481:G483)</f>
        <v>102273272</v>
      </c>
      <c r="H484" s="46">
        <f t="shared" ref="H484:I484" si="156">SUM(H481:H483)</f>
        <v>98251722.188887924</v>
      </c>
      <c r="I484" s="46">
        <f t="shared" si="156"/>
        <v>4021549.8111120658</v>
      </c>
      <c r="J484" s="20">
        <f>IF($E$1149=1,($G484),IF($E$1149=2,($G484),IF($E$1149=3,0,IF($E$1149=4,($H484),IF($E$1149=5,($I484),0)))))</f>
        <v>0</v>
      </c>
      <c r="L484" s="21">
        <v>0</v>
      </c>
      <c r="M484" s="21">
        <v>0</v>
      </c>
      <c r="N484" s="21">
        <v>0</v>
      </c>
      <c r="O484" s="21">
        <v>0</v>
      </c>
      <c r="P484" s="21">
        <v>0</v>
      </c>
      <c r="Q484" s="21">
        <v>0</v>
      </c>
      <c r="R484" s="21">
        <v>0</v>
      </c>
      <c r="S484" s="21">
        <v>0</v>
      </c>
    </row>
    <row r="485" spans="1:19" x14ac:dyDescent="0.2">
      <c r="A485" s="13">
        <f t="shared" si="147"/>
        <v>485</v>
      </c>
      <c r="B485" s="4" t="s">
        <v>283</v>
      </c>
      <c r="C485" s="25"/>
      <c r="D485" s="43" t="s">
        <v>5</v>
      </c>
      <c r="E485" s="44" t="s">
        <v>5</v>
      </c>
      <c r="F485" s="45"/>
      <c r="L485" s="21">
        <v>0</v>
      </c>
      <c r="M485" s="21">
        <v>0</v>
      </c>
      <c r="N485" s="21">
        <v>0</v>
      </c>
      <c r="O485" s="21">
        <v>0</v>
      </c>
      <c r="P485" s="21">
        <v>0</v>
      </c>
      <c r="Q485" s="21">
        <v>0</v>
      </c>
      <c r="R485" s="21">
        <v>0</v>
      </c>
      <c r="S485" s="21">
        <v>0</v>
      </c>
    </row>
    <row r="486" spans="1:19" x14ac:dyDescent="0.2">
      <c r="A486" s="13">
        <f t="shared" si="147"/>
        <v>486</v>
      </c>
      <c r="B486" s="4" t="s">
        <v>284</v>
      </c>
      <c r="C486" s="25"/>
      <c r="D486" s="43" t="s">
        <v>5</v>
      </c>
      <c r="E486" s="44" t="str">
        <f>(E$1004)</f>
        <v>D10</v>
      </c>
      <c r="F486" s="45"/>
      <c r="G486" s="21">
        <f>IF($E$1149=1,($L486),IF($E$1149=2,($M486),IF($E$1149=3,($N486),IF($E$1149=4,($O486),IF($E$1149=5,($P486),IF($E$1149=6,($Q486),IF($E$1149=7,($R486),IF($E$1149=8,($S486),0))))))))</f>
        <v>0</v>
      </c>
      <c r="H486" s="48">
        <f>IF($G$1004&lt;&gt;0,($G486)*(H$1004/$G$1004),0)</f>
        <v>0</v>
      </c>
      <c r="I486" s="48">
        <f>IF($G$1004&lt;&gt;0,($G486)*(I$1004/$G$1004),0)</f>
        <v>0</v>
      </c>
      <c r="J486" s="20">
        <f>IF($E$1149=1,($G486),IF($E$1149=2,($G486),IF($E$1149=3,0,IF($E$1149=4,($H486),IF($E$1149=5,($I486),0)))))</f>
        <v>0</v>
      </c>
      <c r="L486" s="21">
        <v>0</v>
      </c>
      <c r="M486" s="21">
        <v>0</v>
      </c>
      <c r="N486" s="21">
        <v>0</v>
      </c>
      <c r="O486" s="21">
        <v>0</v>
      </c>
      <c r="P486" s="21">
        <v>0</v>
      </c>
      <c r="Q486" s="21">
        <v>0</v>
      </c>
      <c r="R486" s="21">
        <v>0</v>
      </c>
      <c r="S486" s="21">
        <v>0</v>
      </c>
    </row>
    <row r="487" spans="1:19" x14ac:dyDescent="0.2">
      <c r="A487" s="13">
        <f t="shared" si="147"/>
        <v>487</v>
      </c>
      <c r="B487" s="4" t="s">
        <v>285</v>
      </c>
      <c r="C487" s="25"/>
      <c r="D487" s="43" t="s">
        <v>5</v>
      </c>
      <c r="E487" s="44" t="str">
        <f>(E$1010)</f>
        <v>E10</v>
      </c>
      <c r="F487" s="45"/>
      <c r="G487" s="21">
        <f>IF($E$1149=1,($L487),IF($E$1149=2,($M487),IF($E$1149=3,($N487),IF($E$1149=4,($O487),IF($E$1149=5,($P487),IF($E$1149=6,($Q487),IF($E$1149=7,($R487),IF($E$1149=8,($S487),0))))))))</f>
        <v>202595355</v>
      </c>
      <c r="H487" s="48">
        <f>IF($G$1010&lt;&gt;0,($G487)*(H$1010/$G$1010),0)</f>
        <v>193644154.18948346</v>
      </c>
      <c r="I487" s="48">
        <f>IF($G$1010&lt;&gt;0,($G487)*(I$1010/$G$1010),0)</f>
        <v>8951200.8105165437</v>
      </c>
      <c r="J487" s="20">
        <f>IF($E$1149=1,($G487),IF($E$1149=2,($G487),IF($E$1149=3,0,IF($E$1149=4,($H487),IF($E$1149=5,($I487),0)))))</f>
        <v>0</v>
      </c>
      <c r="L487" s="21">
        <v>199725980.34</v>
      </c>
      <c r="M487" s="21">
        <v>199725980.34</v>
      </c>
      <c r="N487" s="21">
        <v>199725980.34</v>
      </c>
      <c r="O487" s="21">
        <v>199725980.34</v>
      </c>
      <c r="P487" s="21">
        <v>199725980.34</v>
      </c>
      <c r="Q487" s="21">
        <v>199725980.34</v>
      </c>
      <c r="R487" s="21">
        <v>202595355</v>
      </c>
      <c r="S487" s="21">
        <v>199725980.34</v>
      </c>
    </row>
    <row r="488" spans="1:19" x14ac:dyDescent="0.2">
      <c r="A488" s="13">
        <f t="shared" si="147"/>
        <v>488</v>
      </c>
      <c r="B488" s="4" t="s">
        <v>5</v>
      </c>
      <c r="C488" s="4" t="s">
        <v>286</v>
      </c>
      <c r="D488" s="43" t="s">
        <v>5</v>
      </c>
      <c r="E488" s="44" t="s">
        <v>5</v>
      </c>
      <c r="F488" s="45"/>
      <c r="G488" s="46">
        <f>SUM(G486:G487)</f>
        <v>202595355</v>
      </c>
      <c r="H488" s="46">
        <f t="shared" ref="H488:I488" si="157">SUM(H486:H487)</f>
        <v>193644154.18948346</v>
      </c>
      <c r="I488" s="46">
        <f t="shared" si="157"/>
        <v>8951200.8105165437</v>
      </c>
      <c r="J488" s="20">
        <f>IF($E$1149=1,($G488),IF($E$1149=2,($G488),IF($E$1149=3,0,IF($E$1149=4,($H488),IF($E$1149=5,($I488),0)))))</f>
        <v>0</v>
      </c>
      <c r="L488" s="21">
        <v>0</v>
      </c>
      <c r="M488" s="21">
        <v>0</v>
      </c>
      <c r="N488" s="21">
        <v>0</v>
      </c>
      <c r="O488" s="21">
        <v>0</v>
      </c>
      <c r="P488" s="21">
        <v>0</v>
      </c>
      <c r="Q488" s="21">
        <v>0</v>
      </c>
      <c r="R488" s="21">
        <v>0</v>
      </c>
      <c r="S488" s="21">
        <v>0</v>
      </c>
    </row>
    <row r="489" spans="1:19" x14ac:dyDescent="0.2">
      <c r="A489" s="13">
        <f t="shared" si="147"/>
        <v>489</v>
      </c>
      <c r="B489" s="4" t="s">
        <v>5</v>
      </c>
      <c r="C489" s="4" t="s">
        <v>5</v>
      </c>
      <c r="D489" s="43" t="s">
        <v>5</v>
      </c>
      <c r="E489" s="44" t="s">
        <v>5</v>
      </c>
      <c r="F489" s="45"/>
      <c r="G489" s="46"/>
      <c r="H489" s="46"/>
      <c r="I489" s="46"/>
      <c r="L489" s="21">
        <v>0</v>
      </c>
      <c r="M489" s="21">
        <v>0</v>
      </c>
      <c r="N489" s="21">
        <v>0</v>
      </c>
      <c r="O489" s="21">
        <v>0</v>
      </c>
      <c r="P489" s="21">
        <v>0</v>
      </c>
      <c r="Q489" s="21">
        <v>0</v>
      </c>
      <c r="R489" s="21">
        <v>0</v>
      </c>
      <c r="S489" s="21">
        <v>0</v>
      </c>
    </row>
    <row r="490" spans="1:19" x14ac:dyDescent="0.2">
      <c r="A490" s="13">
        <f t="shared" si="147"/>
        <v>490</v>
      </c>
      <c r="B490" s="4" t="s">
        <v>5</v>
      </c>
      <c r="C490" s="4" t="s">
        <v>287</v>
      </c>
      <c r="D490" s="43" t="s">
        <v>5</v>
      </c>
      <c r="E490" s="44" t="s">
        <v>5</v>
      </c>
      <c r="F490" s="45"/>
      <c r="G490" s="46">
        <f>SUM(G484+G488)</f>
        <v>304868627</v>
      </c>
      <c r="H490" s="46">
        <f t="shared" ref="H490:I490" si="158">SUM(H484+H488)</f>
        <v>291895876.37837136</v>
      </c>
      <c r="I490" s="46">
        <f t="shared" si="158"/>
        <v>12972750.621628609</v>
      </c>
      <c r="J490" s="20">
        <f t="shared" ref="J490" si="159">IF($E$1149=1,($G490),IF($E$1149=2,($G490),IF($E$1149=3,0,IF($E$1149=4,($H490),IF($E$1149=5,($I490),0)))))</f>
        <v>0</v>
      </c>
      <c r="L490" s="21">
        <v>0</v>
      </c>
      <c r="M490" s="21">
        <v>0</v>
      </c>
      <c r="N490" s="21">
        <v>0</v>
      </c>
      <c r="O490" s="21">
        <v>0</v>
      </c>
      <c r="P490" s="21">
        <v>0</v>
      </c>
      <c r="Q490" s="21">
        <v>0</v>
      </c>
      <c r="R490" s="21">
        <v>0</v>
      </c>
      <c r="S490" s="21">
        <v>0</v>
      </c>
    </row>
    <row r="491" spans="1:19" x14ac:dyDescent="0.2">
      <c r="A491" s="13">
        <f t="shared" si="147"/>
        <v>491</v>
      </c>
      <c r="B491" s="4" t="s">
        <v>5</v>
      </c>
      <c r="C491" s="4" t="s">
        <v>5</v>
      </c>
      <c r="D491" s="43" t="s">
        <v>5</v>
      </c>
      <c r="E491" s="44" t="s">
        <v>5</v>
      </c>
      <c r="F491" s="45"/>
      <c r="L491" s="21">
        <v>0</v>
      </c>
      <c r="M491" s="21">
        <v>0</v>
      </c>
      <c r="N491" s="21">
        <v>0</v>
      </c>
      <c r="O491" s="21">
        <v>0</v>
      </c>
      <c r="P491" s="21">
        <v>0</v>
      </c>
      <c r="Q491" s="21">
        <v>0</v>
      </c>
      <c r="R491" s="21">
        <v>0</v>
      </c>
      <c r="S491" s="21">
        <v>0</v>
      </c>
    </row>
    <row r="492" spans="1:19" x14ac:dyDescent="0.2">
      <c r="A492" s="13">
        <f t="shared" si="147"/>
        <v>492</v>
      </c>
      <c r="B492" s="4" t="s">
        <v>288</v>
      </c>
      <c r="C492" s="25"/>
      <c r="D492" s="43" t="s">
        <v>5</v>
      </c>
      <c r="E492" s="44" t="str">
        <f>(E$1004)</f>
        <v>D10</v>
      </c>
      <c r="F492" s="45"/>
      <c r="G492" s="21">
        <f>IF($E$1149=1,($L492),IF($E$1149=2,($M492),IF($E$1149=3,($N492),IF($E$1149=4,($O492),IF($E$1149=5,($P492),IF($E$1149=6,($Q492),IF($E$1149=7,($R492),IF($E$1149=8,($S492),0))))))))</f>
        <v>355</v>
      </c>
      <c r="H492" s="48">
        <f>IF($G$1004&lt;&gt;0,($G492)*(H$1004/$G$1004),0)</f>
        <v>340.85182418393009</v>
      </c>
      <c r="I492" s="48">
        <f>IF($G$1004&lt;&gt;0,($G492)*(I$1004/$G$1004),0)</f>
        <v>14.148175816069964</v>
      </c>
      <c r="J492" s="20">
        <f t="shared" ref="J492" si="160">IF($E$1149=1,($G492),IF($E$1149=2,($G492),IF($E$1149=3,0,IF($E$1149=4,($H492),IF($E$1149=5,($I492),0)))))</f>
        <v>0</v>
      </c>
      <c r="L492" s="21">
        <v>355</v>
      </c>
      <c r="M492" s="21">
        <v>355</v>
      </c>
      <c r="N492" s="21">
        <v>355</v>
      </c>
      <c r="O492" s="21">
        <v>355</v>
      </c>
      <c r="P492" s="21">
        <v>355</v>
      </c>
      <c r="Q492" s="21">
        <v>355</v>
      </c>
      <c r="R492" s="21">
        <v>355</v>
      </c>
      <c r="S492" s="21">
        <v>355</v>
      </c>
    </row>
    <row r="493" spans="1:19" x14ac:dyDescent="0.2">
      <c r="A493" s="13">
        <f t="shared" si="147"/>
        <v>493</v>
      </c>
      <c r="B493" s="4" t="s">
        <v>289</v>
      </c>
      <c r="C493" s="9"/>
      <c r="D493" s="43"/>
      <c r="E493" s="44"/>
      <c r="F493" s="45"/>
      <c r="G493" s="21"/>
      <c r="H493" s="48"/>
      <c r="I493" s="48"/>
    </row>
    <row r="494" spans="1:19" x14ac:dyDescent="0.2">
      <c r="A494" s="13">
        <f t="shared" si="147"/>
        <v>494</v>
      </c>
      <c r="B494" s="3" t="s">
        <v>290</v>
      </c>
      <c r="C494" s="3"/>
      <c r="D494" s="43"/>
      <c r="E494" s="44" t="str">
        <f>(E$1049)</f>
        <v>CIDA</v>
      </c>
      <c r="F494" s="45"/>
      <c r="G494" s="21">
        <f>IF($E$1149=1,($L494),IF($E$1149=2,($M494),IF($E$1149=3,($N494),IF($E$1149=4,($O494),IF($E$1149=5,($P494),IF($E$1149=6,($Q494),IF($E$1149=7,($R494),IF($E$1149=8,($S494),0))))))))</f>
        <v>93616</v>
      </c>
      <c r="H494" s="48">
        <f>IF($G$1049&lt;&gt;0,($G494)*(H$1049/$G$1049),0)</f>
        <v>93616</v>
      </c>
      <c r="I494" s="48">
        <f>IF($G$1049&lt;&gt;0,($G494)*(I$1049/$G$1049),0)</f>
        <v>0</v>
      </c>
      <c r="J494" s="20">
        <f>IF($E$1149=1,($G494),IF($E$1149=2,($G494),IF($E$1149=3,0,IF($E$1149=4,($H494),IF($E$1149=5,($I494),0)))))</f>
        <v>0</v>
      </c>
      <c r="L494" s="21">
        <v>-49668584</v>
      </c>
      <c r="M494" s="21">
        <v>-27539668</v>
      </c>
      <c r="N494" s="21">
        <v>-27539668</v>
      </c>
      <c r="O494" s="21">
        <v>-27539668</v>
      </c>
      <c r="P494" s="21">
        <v>-49668584</v>
      </c>
      <c r="Q494" s="21">
        <v>-27539668</v>
      </c>
      <c r="R494" s="21">
        <v>93616</v>
      </c>
      <c r="S494" s="21">
        <v>-27539668</v>
      </c>
    </row>
    <row r="495" spans="1:19" x14ac:dyDescent="0.2">
      <c r="A495" s="13">
        <f t="shared" si="147"/>
        <v>495</v>
      </c>
      <c r="B495" s="3" t="s">
        <v>291</v>
      </c>
      <c r="C495" s="3"/>
      <c r="D495" s="43"/>
      <c r="E495" s="44" t="str">
        <f>(E$1050)</f>
        <v>CODA</v>
      </c>
      <c r="F495" s="45"/>
      <c r="G495" s="21">
        <f>IF($E$1149=1,($L495),IF($E$1149=2,($M495),IF($E$1149=3,($N495),IF($E$1149=4,($O495),IF($E$1149=5,($P495),IF($E$1149=6,($Q495),IF($E$1149=7,($R495),IF($E$1149=8,($S495),0))))))))</f>
        <v>0</v>
      </c>
      <c r="H495" s="48">
        <f>IF($G$1050&lt;&gt;0,($G495)*(H$1050/$G$1050),0)</f>
        <v>0</v>
      </c>
      <c r="I495" s="48">
        <f>IF($G$1050&lt;&gt;0,($G495)*(I$1050/$G$1050),0)</f>
        <v>0</v>
      </c>
      <c r="J495" s="20">
        <f>IF($E$1149=1,($G495),IF($E$1149=2,($G495),IF($E$1149=3,0,IF($E$1149=4,($H495),IF($E$1149=5,($I495),0)))))</f>
        <v>0</v>
      </c>
      <c r="L495" s="21">
        <v>-175080</v>
      </c>
      <c r="M495" s="21">
        <v>-175080</v>
      </c>
      <c r="N495" s="21">
        <v>-175080</v>
      </c>
      <c r="O495" s="21">
        <v>-175080</v>
      </c>
      <c r="P495" s="21">
        <v>-175080</v>
      </c>
      <c r="Q495" s="21">
        <v>-175080</v>
      </c>
      <c r="R495" s="21">
        <v>0</v>
      </c>
      <c r="S495" s="21">
        <v>-175080</v>
      </c>
    </row>
    <row r="496" spans="1:19" x14ac:dyDescent="0.2">
      <c r="A496" s="13">
        <f t="shared" si="147"/>
        <v>496</v>
      </c>
      <c r="B496" s="3" t="s">
        <v>225</v>
      </c>
      <c r="C496" s="3"/>
      <c r="D496" s="43"/>
      <c r="E496" s="44" t="str">
        <f>(E$1004)</f>
        <v>D10</v>
      </c>
      <c r="F496" s="45"/>
      <c r="G496" s="21">
        <f>IF($E$1149=1,($L496),IF($E$1149=2,($M496),IF($E$1149=3,($N496),IF($E$1149=4,($O496),IF($E$1149=5,($P496),IF($E$1149=6,($Q496),IF($E$1149=7,($R496),IF($E$1149=8,($S496),0))))))))</f>
        <v>5289023</v>
      </c>
      <c r="H496" s="48">
        <f>IF($G$1004&lt;&gt;0,($G496)*(H$1004/$G$1004),0)</f>
        <v>5078234.1907063732</v>
      </c>
      <c r="I496" s="48">
        <f>IF($G$1004&lt;&gt;0,($G496)*(I$1004/$G$1004),0)</f>
        <v>210788.80929362762</v>
      </c>
      <c r="J496" s="20">
        <f>IF($E$1149=1,($G496),IF($E$1149=2,($G496),IF($E$1149=3,0,IF($E$1149=4,($H496),IF($E$1149=5,($I496),0)))))</f>
        <v>0</v>
      </c>
      <c r="L496" s="21">
        <v>5263776</v>
      </c>
      <c r="M496" s="21">
        <v>5289023</v>
      </c>
      <c r="N496" s="21">
        <v>5289023</v>
      </c>
      <c r="O496" s="21">
        <v>5289023</v>
      </c>
      <c r="P496" s="21">
        <v>5263776</v>
      </c>
      <c r="Q496" s="21">
        <v>5263776</v>
      </c>
      <c r="R496" s="21">
        <v>5289023</v>
      </c>
      <c r="S496" s="21">
        <v>5289023</v>
      </c>
    </row>
    <row r="497" spans="1:19" x14ac:dyDescent="0.2">
      <c r="A497" s="13">
        <f t="shared" si="147"/>
        <v>497</v>
      </c>
      <c r="B497" s="3" t="s">
        <v>5</v>
      </c>
      <c r="C497" s="3" t="s">
        <v>292</v>
      </c>
      <c r="D497" s="43" t="s">
        <v>5</v>
      </c>
      <c r="E497" s="44"/>
      <c r="F497" s="45"/>
      <c r="G497" s="46">
        <f>SUM(G494:G496)</f>
        <v>5382639</v>
      </c>
      <c r="H497" s="46">
        <f t="shared" ref="H497:I497" si="161">SUM(H494:H496)</f>
        <v>5171850.1907063732</v>
      </c>
      <c r="I497" s="46">
        <f t="shared" si="161"/>
        <v>210788.80929362762</v>
      </c>
      <c r="J497" s="20">
        <f>IF($E$1149=1,($G497),IF($E$1149=2,($G497),IF($E$1149=3,0,IF($E$1149=4,($H497),IF($E$1149=5,($I497),0)))))</f>
        <v>0</v>
      </c>
      <c r="L497" s="21">
        <v>0</v>
      </c>
      <c r="M497" s="21">
        <v>0</v>
      </c>
      <c r="N497" s="21">
        <v>0</v>
      </c>
      <c r="O497" s="21">
        <v>0</v>
      </c>
      <c r="P497" s="21">
        <v>0</v>
      </c>
      <c r="Q497" s="21">
        <v>0</v>
      </c>
      <c r="R497" s="21">
        <v>0</v>
      </c>
      <c r="S497" s="21">
        <v>0</v>
      </c>
    </row>
    <row r="498" spans="1:19" x14ac:dyDescent="0.2">
      <c r="A498" s="13">
        <f t="shared" si="147"/>
        <v>498</v>
      </c>
      <c r="B498" s="4" t="s">
        <v>5</v>
      </c>
      <c r="C498" s="4" t="s">
        <v>5</v>
      </c>
      <c r="D498" s="43" t="s">
        <v>5</v>
      </c>
      <c r="E498" s="44" t="s">
        <v>5</v>
      </c>
      <c r="F498" s="45"/>
      <c r="L498" s="21">
        <v>0</v>
      </c>
      <c r="M498" s="21">
        <v>0</v>
      </c>
      <c r="N498" s="21">
        <v>0</v>
      </c>
      <c r="O498" s="21">
        <v>0</v>
      </c>
      <c r="P498" s="21">
        <v>0</v>
      </c>
      <c r="Q498" s="21">
        <v>0</v>
      </c>
      <c r="R498" s="21">
        <v>0</v>
      </c>
      <c r="S498" s="21">
        <v>0</v>
      </c>
    </row>
    <row r="499" spans="1:19" x14ac:dyDescent="0.2">
      <c r="A499" s="13">
        <f t="shared" si="147"/>
        <v>499</v>
      </c>
      <c r="B499" s="4" t="s">
        <v>5</v>
      </c>
      <c r="C499" s="4" t="s">
        <v>293</v>
      </c>
      <c r="D499" s="43" t="s">
        <v>5</v>
      </c>
      <c r="E499" s="44" t="s">
        <v>5</v>
      </c>
      <c r="F499" s="45"/>
      <c r="G499" s="46">
        <f>SUM(G490:G492,G497)</f>
        <v>310251621</v>
      </c>
      <c r="H499" s="46">
        <f t="shared" ref="H499:I499" si="162">SUM(H490:H492,H497)</f>
        <v>297068067.42090189</v>
      </c>
      <c r="I499" s="46">
        <f t="shared" si="162"/>
        <v>13183553.579098053</v>
      </c>
      <c r="J499" s="20">
        <f>IF($E$1149=1,($G499),IF($E$1149=2,($G499),IF($E$1149=3,0,IF($E$1149=4,($H499),IF($E$1149=5,($I499),0)))))</f>
        <v>0</v>
      </c>
      <c r="L499" s="21">
        <v>0</v>
      </c>
      <c r="M499" s="21">
        <v>0</v>
      </c>
      <c r="N499" s="21">
        <v>0</v>
      </c>
      <c r="O499" s="21">
        <v>0</v>
      </c>
      <c r="P499" s="21">
        <v>0</v>
      </c>
      <c r="Q499" s="21">
        <v>0</v>
      </c>
      <c r="R499" s="21">
        <v>0</v>
      </c>
      <c r="S499" s="21">
        <v>0</v>
      </c>
    </row>
    <row r="500" spans="1:19" x14ac:dyDescent="0.2">
      <c r="A500" s="13">
        <f t="shared" si="147"/>
        <v>500</v>
      </c>
      <c r="B500" s="4" t="s">
        <v>5</v>
      </c>
      <c r="C500" s="4" t="s">
        <v>5</v>
      </c>
      <c r="D500" s="43" t="s">
        <v>5</v>
      </c>
      <c r="E500" s="44" t="s">
        <v>5</v>
      </c>
      <c r="F500" s="45"/>
      <c r="G500" s="46"/>
      <c r="H500" s="46"/>
      <c r="I500" s="46"/>
      <c r="L500" s="21">
        <v>0</v>
      </c>
      <c r="M500" s="21">
        <v>0</v>
      </c>
      <c r="N500" s="21">
        <v>0</v>
      </c>
      <c r="O500" s="21">
        <v>0</v>
      </c>
      <c r="P500" s="21">
        <v>0</v>
      </c>
      <c r="Q500" s="21">
        <v>0</v>
      </c>
      <c r="R500" s="21">
        <v>0</v>
      </c>
      <c r="S500" s="21">
        <v>0</v>
      </c>
    </row>
    <row r="501" spans="1:19" x14ac:dyDescent="0.2">
      <c r="A501" s="13">
        <f t="shared" si="147"/>
        <v>501</v>
      </c>
      <c r="B501" s="4" t="s">
        <v>5</v>
      </c>
      <c r="C501" s="4" t="s">
        <v>294</v>
      </c>
      <c r="D501" s="43" t="s">
        <v>5</v>
      </c>
      <c r="E501" s="44" t="s">
        <v>5</v>
      </c>
      <c r="F501" s="45"/>
      <c r="G501" s="46">
        <f t="shared" ref="G501:I501" si="163">SUM(G411+G446+G477+G499)</f>
        <v>513150894.02999997</v>
      </c>
      <c r="H501" s="46">
        <f t="shared" si="163"/>
        <v>491267870.79420811</v>
      </c>
      <c r="I501" s="46">
        <f t="shared" si="163"/>
        <v>21883023.235791847</v>
      </c>
      <c r="J501" s="20">
        <f>IF($E$1149=1,($G501),IF($E$1149=2,($G501),IF($E$1149=3,0,IF($E$1149=4,($H501),IF($E$1149=5,($I501),0)))))</f>
        <v>0</v>
      </c>
      <c r="L501" s="21">
        <v>0</v>
      </c>
      <c r="M501" s="21">
        <v>0</v>
      </c>
      <c r="N501" s="21">
        <v>0</v>
      </c>
      <c r="O501" s="21">
        <v>0</v>
      </c>
      <c r="P501" s="21">
        <v>0</v>
      </c>
      <c r="Q501" s="21">
        <v>0</v>
      </c>
      <c r="R501" s="21">
        <v>0</v>
      </c>
      <c r="S501" s="21">
        <v>0</v>
      </c>
    </row>
    <row r="502" spans="1:19" x14ac:dyDescent="0.2">
      <c r="A502" s="13">
        <f t="shared" si="147"/>
        <v>502</v>
      </c>
      <c r="B502" s="38" t="str">
        <f>B378</f>
        <v>* * * TABLE 5 - OPERATION &amp; MAINTENANCE EXPENSES * * *</v>
      </c>
      <c r="C502" s="68"/>
      <c r="D502" s="43"/>
      <c r="E502" s="44"/>
      <c r="F502" s="45"/>
      <c r="L502" s="21">
        <v>0</v>
      </c>
      <c r="M502" s="21">
        <v>0</v>
      </c>
    </row>
    <row r="503" spans="1:19" x14ac:dyDescent="0.2">
      <c r="A503" s="13">
        <f t="shared" si="147"/>
        <v>503</v>
      </c>
      <c r="B503" s="4"/>
      <c r="C503" s="4"/>
      <c r="D503" s="43"/>
      <c r="E503" s="44"/>
      <c r="F503" s="45"/>
      <c r="L503" s="21">
        <v>0</v>
      </c>
      <c r="M503" s="21">
        <v>0</v>
      </c>
    </row>
    <row r="504" spans="1:19" x14ac:dyDescent="0.2">
      <c r="A504" s="13">
        <f t="shared" si="147"/>
        <v>504</v>
      </c>
      <c r="B504" s="4" t="s">
        <v>295</v>
      </c>
      <c r="C504" s="4"/>
      <c r="D504" s="43" t="s">
        <v>5</v>
      </c>
      <c r="E504" s="44" t="s">
        <v>5</v>
      </c>
      <c r="F504" s="45"/>
      <c r="L504" s="21">
        <v>0</v>
      </c>
      <c r="M504" s="21">
        <v>0</v>
      </c>
    </row>
    <row r="505" spans="1:19" x14ac:dyDescent="0.2">
      <c r="A505" s="13">
        <f t="shared" si="147"/>
        <v>505</v>
      </c>
      <c r="B505" s="4" t="str">
        <f>" "</f>
        <v xml:space="preserve"> </v>
      </c>
      <c r="C505" s="4"/>
      <c r="D505" s="43"/>
      <c r="E505" s="44"/>
      <c r="F505" s="45"/>
      <c r="L505" s="21">
        <v>0</v>
      </c>
      <c r="M505" s="21">
        <v>0</v>
      </c>
    </row>
    <row r="506" spans="1:19" x14ac:dyDescent="0.2">
      <c r="A506" s="13">
        <f t="shared" si="147"/>
        <v>506</v>
      </c>
      <c r="B506" s="4" t="s">
        <v>220</v>
      </c>
      <c r="C506" s="4"/>
      <c r="D506" s="43"/>
      <c r="E506" s="44"/>
      <c r="F506" s="45"/>
      <c r="L506" s="21">
        <v>0</v>
      </c>
      <c r="M506" s="21">
        <v>0</v>
      </c>
    </row>
    <row r="507" spans="1:19" x14ac:dyDescent="0.2">
      <c r="A507" s="13">
        <f t="shared" si="147"/>
        <v>507</v>
      </c>
      <c r="B507" s="4" t="s">
        <v>296</v>
      </c>
      <c r="C507" s="25"/>
      <c r="D507" s="43" t="s">
        <v>508</v>
      </c>
      <c r="E507" s="44">
        <f>A144</f>
        <v>144</v>
      </c>
      <c r="F507" s="45"/>
      <c r="G507" s="21">
        <f t="shared" ref="G507:G513" si="164">IF($E$1149=1,($L507),IF($E$1149=2,($M507),IF($E$1149=3,($N507),IF($E$1149=4,($O507),IF($E$1149=5,($P507),IF($E$1149=6,($Q507),IF($E$1149=7,($R507),IF($E$1149=8,($S507),0))))))))</f>
        <v>2912270.9076409712</v>
      </c>
      <c r="H507" s="48">
        <f t="shared" ref="H507:I507" si="165">IF($G$144&lt;&gt;0,($G507)*(H$144/$G$144),0)</f>
        <v>2796001.5033920291</v>
      </c>
      <c r="I507" s="48">
        <f t="shared" si="165"/>
        <v>116269.40424894265</v>
      </c>
      <c r="J507" s="20">
        <f t="shared" ref="J507:J513" si="166">IF($E$1149=1,($G507),IF($E$1149=2,($G507),IF($E$1149=3,0,IF($E$1149=4,($H507),IF($E$1149=5,($I507),0)))))</f>
        <v>0</v>
      </c>
      <c r="L507" s="21">
        <v>2899725.75</v>
      </c>
      <c r="M507" s="21">
        <v>2912270.9076409712</v>
      </c>
      <c r="N507" s="21">
        <v>2912270.9076409712</v>
      </c>
      <c r="O507" s="21">
        <v>2912270.9076409712</v>
      </c>
      <c r="P507" s="21">
        <v>2899725.75</v>
      </c>
      <c r="Q507" s="21">
        <v>2899725.75</v>
      </c>
      <c r="R507" s="21">
        <v>2912270.9076409712</v>
      </c>
      <c r="S507" s="21">
        <v>2912270.9076409712</v>
      </c>
    </row>
    <row r="508" spans="1:19" x14ac:dyDescent="0.2">
      <c r="A508" s="13">
        <f t="shared" si="147"/>
        <v>508</v>
      </c>
      <c r="B508" s="4" t="s">
        <v>297</v>
      </c>
      <c r="C508" s="25"/>
      <c r="D508" s="43" t="s">
        <v>5</v>
      </c>
      <c r="E508" s="44" t="str">
        <f>(E$1006)</f>
        <v>D12</v>
      </c>
      <c r="F508" s="45"/>
      <c r="G508" s="21">
        <f t="shared" si="164"/>
        <v>5318827.962074873</v>
      </c>
      <c r="H508" s="48">
        <f>IF($G$1006&lt;&gt;0,($G508)*(H$1006/$G$1006),0)</f>
        <v>5106851.3053344106</v>
      </c>
      <c r="I508" s="48">
        <f>IF($G$1006&lt;&gt;0,($G508)*(I$1006/$G$1006),0)</f>
        <v>211976.65674046314</v>
      </c>
      <c r="J508" s="20">
        <f t="shared" si="166"/>
        <v>0</v>
      </c>
      <c r="L508" s="21">
        <v>5299070.67</v>
      </c>
      <c r="M508" s="21">
        <v>5318827.962074873</v>
      </c>
      <c r="N508" s="21">
        <v>5318827.962074873</v>
      </c>
      <c r="O508" s="21">
        <v>5318827.962074873</v>
      </c>
      <c r="P508" s="21">
        <v>5299070.67</v>
      </c>
      <c r="Q508" s="21">
        <v>5299070.67</v>
      </c>
      <c r="R508" s="21">
        <v>5318827.962074873</v>
      </c>
      <c r="S508" s="21">
        <v>5318827.962074873</v>
      </c>
    </row>
    <row r="509" spans="1:19" x14ac:dyDescent="0.2">
      <c r="A509" s="13">
        <f t="shared" si="147"/>
        <v>509</v>
      </c>
      <c r="B509" s="4" t="s">
        <v>298</v>
      </c>
      <c r="C509" s="25"/>
      <c r="D509" s="43" t="s">
        <v>508</v>
      </c>
      <c r="E509" s="44">
        <f>A121</f>
        <v>121</v>
      </c>
      <c r="F509" s="45"/>
      <c r="G509" s="21">
        <f t="shared" si="164"/>
        <v>3044589.3546439782</v>
      </c>
      <c r="H509" s="48">
        <f>IF($G$121&lt;&gt;0,($G509)*(SUM(H$119:H$120)/$G$121),0)</f>
        <v>2923037.9300671746</v>
      </c>
      <c r="I509" s="48">
        <f>IF($G$121&lt;&gt;0,($G509)*(SUM(I$119:I$120)/$G$121),0)</f>
        <v>121551.42457680429</v>
      </c>
      <c r="J509" s="20">
        <f t="shared" si="166"/>
        <v>0</v>
      </c>
      <c r="L509" s="21">
        <v>3030863.9</v>
      </c>
      <c r="M509" s="21">
        <v>3044589.3546439782</v>
      </c>
      <c r="N509" s="21">
        <v>3044589.3546439782</v>
      </c>
      <c r="O509" s="21">
        <v>3044589.3546439782</v>
      </c>
      <c r="P509" s="21">
        <v>3030863.9</v>
      </c>
      <c r="Q509" s="21">
        <v>3030863.9</v>
      </c>
      <c r="R509" s="21">
        <v>3044589.3546439782</v>
      </c>
      <c r="S509" s="21">
        <v>3044589.3546439782</v>
      </c>
    </row>
    <row r="510" spans="1:19" x14ac:dyDescent="0.2">
      <c r="A510" s="13">
        <f t="shared" si="147"/>
        <v>510</v>
      </c>
      <c r="B510" s="4" t="s">
        <v>299</v>
      </c>
      <c r="C510" s="25"/>
      <c r="D510" s="43" t="s">
        <v>508</v>
      </c>
      <c r="E510" s="44" t="str">
        <f>A127&amp;"+"&amp;A132&amp;"+"&amp;A137</f>
        <v>127+132+137</v>
      </c>
      <c r="F510" s="45"/>
      <c r="G510" s="21">
        <f t="shared" si="164"/>
        <v>1057774.6631776216</v>
      </c>
      <c r="H510" s="48">
        <f>IF(SUM($G$127+$G$132+$G$137)&lt;&gt;0,($G510)*(SUM(H$125:H$126,H$130:H$131,H$135:H$136)/SUM($G$127+$G$132+$G$137)),0)</f>
        <v>1015531.5400512206</v>
      </c>
      <c r="I510" s="48">
        <f>IF(SUM($G$127+$G$132+$G$137)&lt;&gt;0,($G510)*(SUM(I$125:I$126,I$130:I$131,I$135:I$136)/SUM($G$127+$G$132+$G$137)),0)</f>
        <v>42243.123126401064</v>
      </c>
      <c r="J510" s="20">
        <f t="shared" si="166"/>
        <v>0</v>
      </c>
      <c r="L510" s="21">
        <v>1055067.3799999999</v>
      </c>
      <c r="M510" s="21">
        <v>1057774.6631776216</v>
      </c>
      <c r="N510" s="21">
        <v>1057774.6631776216</v>
      </c>
      <c r="O510" s="21">
        <v>1057774.6631776216</v>
      </c>
      <c r="P510" s="21">
        <v>1055067.3799999999</v>
      </c>
      <c r="Q510" s="21">
        <v>1055067.3799999999</v>
      </c>
      <c r="R510" s="21">
        <v>1057774.6631776216</v>
      </c>
      <c r="S510" s="21">
        <v>1057774.6631776216</v>
      </c>
    </row>
    <row r="511" spans="1:19" x14ac:dyDescent="0.2">
      <c r="A511" s="13">
        <f t="shared" si="147"/>
        <v>511</v>
      </c>
      <c r="B511" s="4" t="s">
        <v>300</v>
      </c>
      <c r="C511" s="25"/>
      <c r="D511" s="43" t="s">
        <v>5</v>
      </c>
      <c r="E511" s="44" t="str">
        <f>(E$1010)</f>
        <v>E10</v>
      </c>
      <c r="F511" s="45"/>
      <c r="G511" s="21">
        <f t="shared" si="164"/>
        <v>7022555.5800000001</v>
      </c>
      <c r="H511" s="48">
        <f>IF($G$1010&lt;&gt;0,($G511)*(H$1010/$G$1010),0)</f>
        <v>6712280.424878139</v>
      </c>
      <c r="I511" s="48">
        <f>IF($G$1010&lt;&gt;0,($G511)*(I$1010/$G$1010),0)</f>
        <v>310275.15512186091</v>
      </c>
      <c r="J511" s="20">
        <f t="shared" si="166"/>
        <v>0</v>
      </c>
      <c r="L511" s="21">
        <v>7022555.5800000001</v>
      </c>
      <c r="M511" s="21">
        <v>7022555.5800000001</v>
      </c>
      <c r="N511" s="21">
        <v>7022555.5800000001</v>
      </c>
      <c r="O511" s="21">
        <v>7022555.5800000001</v>
      </c>
      <c r="P511" s="21">
        <v>7022555.5800000001</v>
      </c>
      <c r="Q511" s="21">
        <v>7022555.5800000001</v>
      </c>
      <c r="R511" s="21">
        <v>7022555.5800000001</v>
      </c>
      <c r="S511" s="21">
        <v>7022555.5800000001</v>
      </c>
    </row>
    <row r="512" spans="1:19" x14ac:dyDescent="0.2">
      <c r="A512" s="13">
        <f t="shared" si="147"/>
        <v>512</v>
      </c>
      <c r="B512" s="4" t="s">
        <v>301</v>
      </c>
      <c r="C512" s="25"/>
      <c r="D512" s="43" t="s">
        <v>508</v>
      </c>
      <c r="E512" s="44">
        <f>A144</f>
        <v>144</v>
      </c>
      <c r="F512" s="45"/>
      <c r="G512" s="21">
        <f t="shared" si="164"/>
        <v>0</v>
      </c>
      <c r="H512" s="48">
        <f t="shared" ref="H512:I513" si="167">IF($G$144&lt;&gt;0,($G512)*(H$144/$G$144),0)</f>
        <v>0</v>
      </c>
      <c r="I512" s="48">
        <f t="shared" si="167"/>
        <v>0</v>
      </c>
      <c r="J512" s="20">
        <f t="shared" si="166"/>
        <v>0</v>
      </c>
      <c r="L512" s="21">
        <v>0</v>
      </c>
      <c r="M512" s="21">
        <v>0</v>
      </c>
      <c r="N512" s="21">
        <v>0</v>
      </c>
      <c r="O512" s="21">
        <v>0</v>
      </c>
      <c r="P512" s="21">
        <v>0</v>
      </c>
      <c r="Q512" s="21">
        <v>0</v>
      </c>
      <c r="R512" s="21">
        <v>0</v>
      </c>
      <c r="S512" s="21">
        <v>0</v>
      </c>
    </row>
    <row r="513" spans="1:19" x14ac:dyDescent="0.2">
      <c r="A513" s="13">
        <f t="shared" si="147"/>
        <v>513</v>
      </c>
      <c r="B513" s="4" t="s">
        <v>302</v>
      </c>
      <c r="C513" s="25"/>
      <c r="D513" s="43" t="s">
        <v>508</v>
      </c>
      <c r="E513" s="44">
        <f>A144</f>
        <v>144</v>
      </c>
      <c r="F513" s="45"/>
      <c r="G513" s="21">
        <f t="shared" si="164"/>
        <v>4568113.0199999996</v>
      </c>
      <c r="H513" s="48">
        <f t="shared" si="167"/>
        <v>4385735.8318120129</v>
      </c>
      <c r="I513" s="48">
        <f t="shared" si="167"/>
        <v>182377.18818798737</v>
      </c>
      <c r="J513" s="20">
        <f t="shared" si="166"/>
        <v>0</v>
      </c>
      <c r="L513" s="21">
        <v>4568113.0199999996</v>
      </c>
      <c r="M513" s="21">
        <v>4568113.0199999996</v>
      </c>
      <c r="N513" s="21">
        <v>4568113.0199999996</v>
      </c>
      <c r="O513" s="21">
        <v>4568113.0199999996</v>
      </c>
      <c r="P513" s="21">
        <v>4568113.0199999996</v>
      </c>
      <c r="Q513" s="21">
        <v>4568113.0199999996</v>
      </c>
      <c r="R513" s="21">
        <v>4568113.0199999996</v>
      </c>
      <c r="S513" s="21">
        <v>4568113.0199999996</v>
      </c>
    </row>
    <row r="514" spans="1:19" x14ac:dyDescent="0.2">
      <c r="A514" s="13">
        <f t="shared" si="147"/>
        <v>514</v>
      </c>
      <c r="B514" s="4" t="s">
        <v>5</v>
      </c>
      <c r="C514" s="4" t="s">
        <v>5</v>
      </c>
      <c r="D514" s="43" t="s">
        <v>5</v>
      </c>
      <c r="E514" s="44" t="s">
        <v>5</v>
      </c>
      <c r="F514" s="45"/>
      <c r="L514" s="21">
        <v>0</v>
      </c>
      <c r="M514" s="21">
        <v>0</v>
      </c>
      <c r="N514" s="21">
        <v>0</v>
      </c>
      <c r="O514" s="21">
        <v>0</v>
      </c>
      <c r="P514" s="21">
        <v>0</v>
      </c>
      <c r="Q514" s="21">
        <v>0</v>
      </c>
      <c r="R514" s="21">
        <v>0</v>
      </c>
      <c r="S514" s="21">
        <v>0</v>
      </c>
    </row>
    <row r="515" spans="1:19" x14ac:dyDescent="0.2">
      <c r="A515" s="13">
        <f t="shared" ref="A515:A578" si="168">A514+1</f>
        <v>515</v>
      </c>
      <c r="B515" s="4" t="s">
        <v>5</v>
      </c>
      <c r="C515" s="4" t="s">
        <v>303</v>
      </c>
      <c r="D515" s="43" t="s">
        <v>5</v>
      </c>
      <c r="E515" s="44" t="s">
        <v>5</v>
      </c>
      <c r="F515" s="45"/>
      <c r="G515" s="46">
        <f>SUM(G507:G513)</f>
        <v>23924131.48753744</v>
      </c>
      <c r="H515" s="46">
        <f t="shared" ref="H515:I515" si="169">SUM(H507:H513)</f>
        <v>22939438.535534985</v>
      </c>
      <c r="I515" s="46">
        <f t="shared" si="169"/>
        <v>984692.95200245944</v>
      </c>
      <c r="J515" s="20">
        <f>IF($E$1149=1,($G515),IF($E$1149=2,($G515),IF($E$1149=3,0,IF($E$1149=4,($H515),IF($E$1149=5,($I515),0)))))</f>
        <v>0</v>
      </c>
      <c r="L515" s="21">
        <v>0</v>
      </c>
      <c r="M515" s="21">
        <v>0</v>
      </c>
      <c r="N515" s="21">
        <v>0</v>
      </c>
      <c r="O515" s="21">
        <v>0</v>
      </c>
      <c r="P515" s="21">
        <v>0</v>
      </c>
      <c r="Q515" s="21">
        <v>0</v>
      </c>
      <c r="R515" s="21">
        <v>0</v>
      </c>
      <c r="S515" s="21">
        <v>0</v>
      </c>
    </row>
    <row r="516" spans="1:19" x14ac:dyDescent="0.2">
      <c r="A516" s="13">
        <f t="shared" si="168"/>
        <v>516</v>
      </c>
      <c r="B516" s="4" t="s">
        <v>5</v>
      </c>
      <c r="C516" s="4" t="s">
        <v>5</v>
      </c>
      <c r="D516" s="43" t="s">
        <v>5</v>
      </c>
      <c r="E516" s="44" t="s">
        <v>5</v>
      </c>
      <c r="F516" s="45"/>
      <c r="L516" s="21">
        <v>0</v>
      </c>
      <c r="M516" s="21">
        <v>0</v>
      </c>
      <c r="N516" s="21">
        <v>0</v>
      </c>
      <c r="O516" s="21">
        <v>0</v>
      </c>
      <c r="P516" s="21">
        <v>0</v>
      </c>
      <c r="Q516" s="21">
        <v>0</v>
      </c>
      <c r="R516" s="21">
        <v>0</v>
      </c>
      <c r="S516" s="21">
        <v>0</v>
      </c>
    </row>
    <row r="517" spans="1:19" x14ac:dyDescent="0.2">
      <c r="A517" s="13">
        <f t="shared" si="168"/>
        <v>517</v>
      </c>
      <c r="B517" s="4" t="s">
        <v>232</v>
      </c>
      <c r="C517" s="4"/>
      <c r="D517" s="43"/>
      <c r="E517" s="44"/>
      <c r="F517" s="45"/>
      <c r="L517" s="21">
        <v>0</v>
      </c>
      <c r="M517" s="21">
        <v>0</v>
      </c>
      <c r="N517" s="21">
        <v>0</v>
      </c>
      <c r="O517" s="21">
        <v>0</v>
      </c>
      <c r="P517" s="21">
        <v>0</v>
      </c>
      <c r="Q517" s="21">
        <v>0</v>
      </c>
      <c r="R517" s="21">
        <v>0</v>
      </c>
      <c r="S517" s="21">
        <v>0</v>
      </c>
    </row>
    <row r="518" spans="1:19" x14ac:dyDescent="0.2">
      <c r="A518" s="13">
        <f t="shared" si="168"/>
        <v>518</v>
      </c>
      <c r="B518" s="4" t="s">
        <v>304</v>
      </c>
      <c r="C518" s="25"/>
      <c r="D518" s="43" t="s">
        <v>508</v>
      </c>
      <c r="E518" s="44">
        <f>A144</f>
        <v>144</v>
      </c>
      <c r="F518" s="45"/>
      <c r="G518" s="21">
        <f t="shared" ref="G518:G523" si="170">IF($E$1149=1,($L518),IF($E$1149=2,($M518),IF($E$1149=3,($N518),IF($E$1149=4,($O518),IF($E$1149=5,($P518),IF($E$1149=6,($Q518),IF($E$1149=7,($R518),IF($E$1149=8,($S518),0))))))))</f>
        <v>184802.53363062599</v>
      </c>
      <c r="H518" s="48">
        <f t="shared" ref="H518:I518" si="171">IF($G$144&lt;&gt;0,($G518)*(H$144/$G$144),0)</f>
        <v>177424.48358983052</v>
      </c>
      <c r="I518" s="48">
        <f t="shared" si="171"/>
        <v>7378.0500407955196</v>
      </c>
      <c r="J518" s="20">
        <f t="shared" ref="J518:J523" si="172">IF($E$1149=1,($G518),IF($E$1149=2,($G518),IF($E$1149=3,0,IF($E$1149=4,($H518),IF($E$1149=5,($I518),0)))))</f>
        <v>0</v>
      </c>
      <c r="L518" s="21">
        <v>184291.47</v>
      </c>
      <c r="M518" s="21">
        <v>184802.53363062599</v>
      </c>
      <c r="N518" s="21">
        <v>184802.53363062599</v>
      </c>
      <c r="O518" s="21">
        <v>184802.53363062599</v>
      </c>
      <c r="P518" s="21">
        <v>184291.47</v>
      </c>
      <c r="Q518" s="21">
        <v>184291.47</v>
      </c>
      <c r="R518" s="21">
        <v>184802.53363062599</v>
      </c>
      <c r="S518" s="21">
        <v>184802.53363062599</v>
      </c>
    </row>
    <row r="519" spans="1:19" x14ac:dyDescent="0.2">
      <c r="A519" s="13">
        <f t="shared" si="168"/>
        <v>519</v>
      </c>
      <c r="B519" s="4" t="s">
        <v>305</v>
      </c>
      <c r="C519" s="25"/>
      <c r="D519" s="43" t="s">
        <v>508</v>
      </c>
      <c r="E519" s="44">
        <f>A116</f>
        <v>116</v>
      </c>
      <c r="F519" s="45"/>
      <c r="G519" s="21">
        <f t="shared" si="170"/>
        <v>1535422.3952597694</v>
      </c>
      <c r="H519" s="48">
        <f>IF($G$116&lt;&gt;0,($G519)*(SUM(H$114:H$115)/$G$116),0)</f>
        <v>1474218.3206380131</v>
      </c>
      <c r="I519" s="48">
        <f>IF($G$116&lt;&gt;0,($G519)*(SUM(I$114:I$115)/$G$116),0)</f>
        <v>61204.074621756772</v>
      </c>
      <c r="J519" s="20">
        <f t="shared" si="172"/>
        <v>0</v>
      </c>
      <c r="L519" s="21">
        <v>1528244.79</v>
      </c>
      <c r="M519" s="21">
        <v>1535422.3952597694</v>
      </c>
      <c r="N519" s="21">
        <v>1535422.3952597694</v>
      </c>
      <c r="O519" s="21">
        <v>1535422.3952597694</v>
      </c>
      <c r="P519" s="21">
        <v>1528244.79</v>
      </c>
      <c r="Q519" s="21">
        <v>1528244.79</v>
      </c>
      <c r="R519" s="21">
        <v>1535422.3952597694</v>
      </c>
      <c r="S519" s="21">
        <v>1535422.3952597694</v>
      </c>
    </row>
    <row r="520" spans="1:19" x14ac:dyDescent="0.2">
      <c r="A520" s="13">
        <f t="shared" si="168"/>
        <v>520</v>
      </c>
      <c r="B520" s="4" t="s">
        <v>306</v>
      </c>
      <c r="C520" s="25"/>
      <c r="D520" s="43" t="s">
        <v>508</v>
      </c>
      <c r="E520" s="44">
        <f>A121</f>
        <v>121</v>
      </c>
      <c r="F520" s="45"/>
      <c r="G520" s="21">
        <f t="shared" si="170"/>
        <v>1785146.6764648671</v>
      </c>
      <c r="H520" s="48">
        <f>IF($G$121&lt;&gt;0,($G520)*(SUM(H$119:H$120)/$G$121),0)</f>
        <v>1713876.9266472519</v>
      </c>
      <c r="I520" s="48">
        <f>IF($G$121&lt;&gt;0,($G520)*(SUM(I$119:I$120)/$G$121),0)</f>
        <v>71269.749817615622</v>
      </c>
      <c r="J520" s="20">
        <f t="shared" si="172"/>
        <v>0</v>
      </c>
      <c r="L520" s="21">
        <v>1774303.63</v>
      </c>
      <c r="M520" s="21">
        <v>1785146.6764648671</v>
      </c>
      <c r="N520" s="21">
        <v>1785146.6764648671</v>
      </c>
      <c r="O520" s="21">
        <v>1785146.6764648671</v>
      </c>
      <c r="P520" s="21">
        <v>1774303.63</v>
      </c>
      <c r="Q520" s="21">
        <v>1774303.63</v>
      </c>
      <c r="R520" s="21">
        <v>1785146.6764648671</v>
      </c>
      <c r="S520" s="21">
        <v>1785146.6764648671</v>
      </c>
    </row>
    <row r="521" spans="1:19" x14ac:dyDescent="0.2">
      <c r="A521" s="13">
        <f t="shared" si="168"/>
        <v>521</v>
      </c>
      <c r="B521" s="4" t="s">
        <v>307</v>
      </c>
      <c r="C521" s="25"/>
      <c r="D521" s="43" t="s">
        <v>508</v>
      </c>
      <c r="E521" s="44" t="str">
        <f>A127&amp;"+"&amp;A132&amp;"+"&amp;A137</f>
        <v>127+132+137</v>
      </c>
      <c r="F521" s="45"/>
      <c r="G521" s="21">
        <f t="shared" si="170"/>
        <v>1131361.4824146305</v>
      </c>
      <c r="H521" s="48">
        <f>IF(SUM($G$127+$G$132+$G$137)&lt;&gt;0,($G521)*(SUM(H$125:H$126,H$130:H$131,H$135:H$136)/SUM($G$127+$G$132+$G$137)),0)</f>
        <v>1086179.6076110329</v>
      </c>
      <c r="I521" s="48">
        <f>IF(SUM($G$127+$G$132+$G$137)&lt;&gt;0,($G521)*(SUM(I$125:I$126,I$130:I$131,I$135:I$136)/SUM($G$127+$G$132+$G$137)),0)</f>
        <v>45181.874803597551</v>
      </c>
      <c r="J521" s="20">
        <f t="shared" si="172"/>
        <v>0</v>
      </c>
      <c r="L521" s="21">
        <v>1126973.51</v>
      </c>
      <c r="M521" s="21">
        <v>1131361.4824146305</v>
      </c>
      <c r="N521" s="21">
        <v>1131361.4824146305</v>
      </c>
      <c r="O521" s="21">
        <v>1131361.4824146305</v>
      </c>
      <c r="P521" s="21">
        <v>1126973.51</v>
      </c>
      <c r="Q521" s="21">
        <v>1126973.51</v>
      </c>
      <c r="R521" s="21">
        <v>1131361.4824146305</v>
      </c>
      <c r="S521" s="21">
        <v>1131361.4824146305</v>
      </c>
    </row>
    <row r="522" spans="1:19" x14ac:dyDescent="0.2">
      <c r="A522" s="13">
        <f t="shared" si="168"/>
        <v>522</v>
      </c>
      <c r="B522" s="4" t="s">
        <v>308</v>
      </c>
      <c r="C522" s="25"/>
      <c r="D522" s="43" t="s">
        <v>508</v>
      </c>
      <c r="E522" s="44">
        <f>A143</f>
        <v>143</v>
      </c>
      <c r="F522" s="45"/>
      <c r="G522" s="21">
        <f t="shared" si="170"/>
        <v>2558.4272328471138</v>
      </c>
      <c r="H522" s="48">
        <f t="shared" ref="H522:I523" si="173">IF($G$144&lt;&gt;0,($G522)*(H$144/$G$144),0)</f>
        <v>2456.28467138522</v>
      </c>
      <c r="I522" s="48">
        <f t="shared" si="173"/>
        <v>102.14256146189437</v>
      </c>
      <c r="J522" s="20">
        <f t="shared" si="172"/>
        <v>0</v>
      </c>
      <c r="L522" s="21">
        <v>2544.9699999999998</v>
      </c>
      <c r="M522" s="21">
        <v>2558.4272328471138</v>
      </c>
      <c r="N522" s="21">
        <v>2558.4272328471138</v>
      </c>
      <c r="O522" s="21">
        <v>2558.4272328471138</v>
      </c>
      <c r="P522" s="21">
        <v>2544.9699999999998</v>
      </c>
      <c r="Q522" s="21">
        <v>2544.9699999999998</v>
      </c>
      <c r="R522" s="21">
        <v>2558.4272328471138</v>
      </c>
      <c r="S522" s="21">
        <v>2558.4272328471138</v>
      </c>
    </row>
    <row r="523" spans="1:19" x14ac:dyDescent="0.2">
      <c r="A523" s="13">
        <f t="shared" si="168"/>
        <v>523</v>
      </c>
      <c r="B523" s="3" t="s">
        <v>309</v>
      </c>
      <c r="C523" s="25"/>
      <c r="D523" s="43" t="s">
        <v>508</v>
      </c>
      <c r="E523" s="44">
        <f>A144</f>
        <v>144</v>
      </c>
      <c r="F523" s="45"/>
      <c r="G523" s="21">
        <f t="shared" si="170"/>
        <v>732682.6</v>
      </c>
      <c r="H523" s="48">
        <f t="shared" si="173"/>
        <v>703431.00490214862</v>
      </c>
      <c r="I523" s="48">
        <f t="shared" si="173"/>
        <v>29251.595097851561</v>
      </c>
      <c r="J523" s="20">
        <f t="shared" si="172"/>
        <v>0</v>
      </c>
      <c r="L523" s="21">
        <v>732682.6</v>
      </c>
      <c r="M523" s="21">
        <v>732682.6</v>
      </c>
      <c r="N523" s="21">
        <v>732682.6</v>
      </c>
      <c r="O523" s="21">
        <v>732682.6</v>
      </c>
      <c r="P523" s="21">
        <v>732682.6</v>
      </c>
      <c r="Q523" s="21">
        <v>732682.6</v>
      </c>
      <c r="R523" s="21">
        <v>732682.6</v>
      </c>
      <c r="S523" s="21">
        <v>732682.6</v>
      </c>
    </row>
    <row r="524" spans="1:19" x14ac:dyDescent="0.2">
      <c r="A524" s="13">
        <f t="shared" si="168"/>
        <v>524</v>
      </c>
      <c r="B524" s="4" t="s">
        <v>5</v>
      </c>
      <c r="C524" s="4" t="s">
        <v>5</v>
      </c>
      <c r="D524" s="43" t="s">
        <v>5</v>
      </c>
      <c r="E524" s="44" t="s">
        <v>5</v>
      </c>
      <c r="F524" s="45"/>
      <c r="L524" s="21">
        <v>0</v>
      </c>
      <c r="M524" s="21">
        <v>0</v>
      </c>
      <c r="N524" s="21">
        <v>0</v>
      </c>
      <c r="O524" s="21">
        <v>0</v>
      </c>
      <c r="P524" s="21">
        <v>0</v>
      </c>
      <c r="Q524" s="21">
        <v>0</v>
      </c>
      <c r="R524" s="21">
        <v>0</v>
      </c>
      <c r="S524" s="21">
        <v>0</v>
      </c>
    </row>
    <row r="525" spans="1:19" x14ac:dyDescent="0.2">
      <c r="A525" s="13">
        <f t="shared" si="168"/>
        <v>525</v>
      </c>
      <c r="B525" s="4" t="s">
        <v>5</v>
      </c>
      <c r="C525" s="4" t="s">
        <v>310</v>
      </c>
      <c r="D525" s="43" t="s">
        <v>5</v>
      </c>
      <c r="E525" s="44" t="s">
        <v>5</v>
      </c>
      <c r="F525" s="45"/>
      <c r="G525" s="46">
        <f>SUM(G518:G523)</f>
        <v>5371974.1150027402</v>
      </c>
      <c r="H525" s="46">
        <f t="shared" ref="H525:I525" si="174">SUM(H518:H523)</f>
        <v>5157586.6280596619</v>
      </c>
      <c r="I525" s="46">
        <f t="shared" si="174"/>
        <v>214387.48694307893</v>
      </c>
      <c r="J525" s="20">
        <f>IF($E$1149=1,($G525),IF($E$1149=2,($G525),IF($E$1149=3,0,IF($E$1149=4,($H525),IF($E$1149=5,($I525),0)))))</f>
        <v>0</v>
      </c>
      <c r="L525" s="21">
        <v>0</v>
      </c>
      <c r="M525" s="21">
        <v>0</v>
      </c>
      <c r="N525" s="21">
        <v>0</v>
      </c>
      <c r="O525" s="21">
        <v>0</v>
      </c>
      <c r="P525" s="21">
        <v>0</v>
      </c>
      <c r="Q525" s="21">
        <v>0</v>
      </c>
      <c r="R525" s="21">
        <v>0</v>
      </c>
      <c r="S525" s="21">
        <v>0</v>
      </c>
    </row>
    <row r="526" spans="1:19" x14ac:dyDescent="0.2">
      <c r="A526" s="13">
        <f t="shared" si="168"/>
        <v>526</v>
      </c>
      <c r="B526" s="4" t="s">
        <v>5</v>
      </c>
      <c r="C526" s="4" t="s">
        <v>5</v>
      </c>
      <c r="D526" s="43" t="s">
        <v>5</v>
      </c>
      <c r="E526" s="44" t="s">
        <v>5</v>
      </c>
      <c r="F526" s="45"/>
      <c r="G526" s="46"/>
      <c r="H526" s="46"/>
      <c r="I526" s="46"/>
      <c r="L526" s="21">
        <v>0</v>
      </c>
      <c r="M526" s="21">
        <v>0</v>
      </c>
      <c r="N526" s="21">
        <v>0</v>
      </c>
      <c r="O526" s="21">
        <v>0</v>
      </c>
      <c r="P526" s="21">
        <v>0</v>
      </c>
      <c r="Q526" s="21">
        <v>0</v>
      </c>
      <c r="R526" s="21">
        <v>0</v>
      </c>
      <c r="S526" s="21">
        <v>0</v>
      </c>
    </row>
    <row r="527" spans="1:19" x14ac:dyDescent="0.2">
      <c r="A527" s="13">
        <f t="shared" si="168"/>
        <v>527</v>
      </c>
      <c r="B527" s="4" t="s">
        <v>5</v>
      </c>
      <c r="C527" s="4" t="s">
        <v>311</v>
      </c>
      <c r="D527" s="43" t="s">
        <v>5</v>
      </c>
      <c r="E527" s="44" t="s">
        <v>5</v>
      </c>
      <c r="F527" s="45"/>
      <c r="G527" s="46">
        <f>SUM(G515+G525)</f>
        <v>29296105.60254018</v>
      </c>
      <c r="H527" s="46">
        <f t="shared" ref="H527:I527" si="175">SUM(H515+H525)</f>
        <v>28097025.163594648</v>
      </c>
      <c r="I527" s="46">
        <f t="shared" si="175"/>
        <v>1199080.4389455384</v>
      </c>
      <c r="J527" s="20">
        <f>IF($E$1149=1,($G527),IF($E$1149=2,($G527),IF($E$1149=3,0,IF($E$1149=4,($H527),IF($E$1149=5,($I527),0)))))</f>
        <v>0</v>
      </c>
      <c r="L527" s="21">
        <v>0</v>
      </c>
      <c r="M527" s="21">
        <v>0</v>
      </c>
      <c r="N527" s="21">
        <v>0</v>
      </c>
      <c r="O527" s="21">
        <v>0</v>
      </c>
      <c r="P527" s="21">
        <v>0</v>
      </c>
      <c r="Q527" s="21">
        <v>0</v>
      </c>
      <c r="R527" s="21">
        <v>0</v>
      </c>
      <c r="S527" s="21">
        <v>0</v>
      </c>
    </row>
    <row r="528" spans="1:19" x14ac:dyDescent="0.2">
      <c r="A528" s="13">
        <f t="shared" si="168"/>
        <v>528</v>
      </c>
      <c r="B528" s="38" t="str">
        <f>B378</f>
        <v>* * * TABLE 5 - OPERATION &amp; MAINTENANCE EXPENSES * * *</v>
      </c>
      <c r="C528" s="4"/>
      <c r="D528" s="43"/>
      <c r="E528" s="44"/>
      <c r="F528" s="45"/>
      <c r="L528" s="21">
        <v>0</v>
      </c>
      <c r="M528" s="21">
        <v>0</v>
      </c>
      <c r="N528" s="21">
        <v>0</v>
      </c>
      <c r="O528" s="21">
        <v>0</v>
      </c>
      <c r="P528" s="21">
        <v>0</v>
      </c>
      <c r="Q528" s="21">
        <v>0</v>
      </c>
      <c r="R528" s="21">
        <v>0</v>
      </c>
      <c r="S528" s="21">
        <v>0</v>
      </c>
    </row>
    <row r="529" spans="1:19" x14ac:dyDescent="0.2">
      <c r="A529" s="13">
        <f t="shared" si="168"/>
        <v>529</v>
      </c>
      <c r="B529" s="4"/>
      <c r="C529" s="4"/>
      <c r="D529" s="43" t="s">
        <v>5</v>
      </c>
      <c r="E529" s="44" t="s">
        <v>5</v>
      </c>
      <c r="F529" s="45"/>
      <c r="L529" s="21">
        <v>0</v>
      </c>
      <c r="M529" s="21">
        <v>0</v>
      </c>
      <c r="N529" s="21">
        <v>0</v>
      </c>
      <c r="O529" s="21">
        <v>0</v>
      </c>
      <c r="P529" s="21">
        <v>0</v>
      </c>
      <c r="Q529" s="21">
        <v>0</v>
      </c>
      <c r="R529" s="21">
        <v>0</v>
      </c>
      <c r="S529" s="21">
        <v>0</v>
      </c>
    </row>
    <row r="530" spans="1:19" x14ac:dyDescent="0.2">
      <c r="A530" s="13">
        <f t="shared" si="168"/>
        <v>530</v>
      </c>
      <c r="B530" s="4" t="s">
        <v>312</v>
      </c>
      <c r="C530" s="4"/>
      <c r="D530" s="43" t="s">
        <v>5</v>
      </c>
      <c r="E530" s="44" t="s">
        <v>5</v>
      </c>
      <c r="F530" s="45"/>
      <c r="L530" s="21">
        <v>0</v>
      </c>
      <c r="M530" s="21">
        <v>0</v>
      </c>
      <c r="N530" s="21">
        <v>0</v>
      </c>
      <c r="O530" s="21">
        <v>0</v>
      </c>
      <c r="P530" s="21">
        <v>0</v>
      </c>
      <c r="Q530" s="21">
        <v>0</v>
      </c>
      <c r="R530" s="21">
        <v>0</v>
      </c>
      <c r="S530" s="21">
        <v>0</v>
      </c>
    </row>
    <row r="531" spans="1:19" x14ac:dyDescent="0.2">
      <c r="A531" s="13">
        <f t="shared" si="168"/>
        <v>531</v>
      </c>
      <c r="B531" s="4" t="str">
        <f>" "</f>
        <v xml:space="preserve"> </v>
      </c>
      <c r="C531" s="4"/>
      <c r="D531" s="43"/>
      <c r="E531" s="44"/>
      <c r="F531" s="45"/>
      <c r="L531" s="21">
        <v>0</v>
      </c>
      <c r="M531" s="21">
        <v>0</v>
      </c>
      <c r="N531" s="21">
        <v>0</v>
      </c>
      <c r="O531" s="21">
        <v>0</v>
      </c>
      <c r="P531" s="21">
        <v>0</v>
      </c>
      <c r="Q531" s="21">
        <v>0</v>
      </c>
      <c r="R531" s="21">
        <v>0</v>
      </c>
      <c r="S531" s="21">
        <v>0</v>
      </c>
    </row>
    <row r="532" spans="1:19" x14ac:dyDescent="0.2">
      <c r="A532" s="13">
        <f t="shared" si="168"/>
        <v>532</v>
      </c>
      <c r="B532" s="4" t="s">
        <v>220</v>
      </c>
      <c r="C532" s="4"/>
      <c r="D532" s="43"/>
      <c r="E532" s="44"/>
      <c r="F532" s="45"/>
      <c r="L532" s="21">
        <v>0</v>
      </c>
      <c r="M532" s="21">
        <v>0</v>
      </c>
      <c r="N532" s="21">
        <v>0</v>
      </c>
      <c r="O532" s="21">
        <v>0</v>
      </c>
      <c r="P532" s="21">
        <v>0</v>
      </c>
      <c r="Q532" s="21">
        <v>0</v>
      </c>
      <c r="R532" s="21">
        <v>0</v>
      </c>
      <c r="S532" s="21">
        <v>0</v>
      </c>
    </row>
    <row r="533" spans="1:19" x14ac:dyDescent="0.2">
      <c r="A533" s="13">
        <f t="shared" si="168"/>
        <v>533</v>
      </c>
      <c r="B533" s="4" t="s">
        <v>313</v>
      </c>
      <c r="C533" s="25"/>
      <c r="D533" s="43" t="s">
        <v>508</v>
      </c>
      <c r="E533" s="44">
        <f>A162</f>
        <v>162</v>
      </c>
      <c r="F533" s="45"/>
      <c r="G533" s="21">
        <f t="shared" ref="G533:G542" si="176">IF($E$1149=1,($L533),IF($E$1149=2,($M533),IF($E$1149=3,($N533),IF($E$1149=4,($O533),IF($E$1149=5,($P533),IF($E$1149=6,($Q533),IF($E$1149=7,($R533),IF($E$1149=8,($S533),0))))))))</f>
        <v>4101143.0654621357</v>
      </c>
      <c r="H533" s="48">
        <f t="shared" ref="H533:I533" si="177">IF($G$162&lt;&gt;0,($G533)*(H$162/$G$162),0)</f>
        <v>3927312.149044795</v>
      </c>
      <c r="I533" s="48">
        <f t="shared" si="177"/>
        <v>173830.91641734127</v>
      </c>
      <c r="J533" s="20">
        <f t="shared" ref="J533:J543" si="178">IF($E$1149=1,($G533),IF($E$1149=2,($G533),IF($E$1149=3,0,IF($E$1149=4,($H533),IF($E$1149=5,($I533),0)))))</f>
        <v>0</v>
      </c>
      <c r="L533" s="21">
        <v>4083135.03</v>
      </c>
      <c r="M533" s="21">
        <v>4101143.0654621357</v>
      </c>
      <c r="N533" s="21">
        <v>4101143.0654621357</v>
      </c>
      <c r="O533" s="21">
        <v>4101143.0654621357</v>
      </c>
      <c r="P533" s="21">
        <v>4083135.03</v>
      </c>
      <c r="Q533" s="21">
        <v>4083135.03</v>
      </c>
      <c r="R533" s="21">
        <v>4101143.0654621357</v>
      </c>
      <c r="S533" s="21">
        <v>4101143.0654621357</v>
      </c>
    </row>
    <row r="534" spans="1:19" x14ac:dyDescent="0.2">
      <c r="A534" s="13">
        <f t="shared" si="168"/>
        <v>534</v>
      </c>
      <c r="B534" s="4" t="s">
        <v>314</v>
      </c>
      <c r="C534" s="25"/>
      <c r="D534" s="43" t="s">
        <v>5</v>
      </c>
      <c r="E534" s="44" t="str">
        <f>(E$1007)</f>
        <v>D60</v>
      </c>
      <c r="F534" s="45"/>
      <c r="G534" s="21">
        <f t="shared" si="176"/>
        <v>4924848.2217879556</v>
      </c>
      <c r="H534" s="48">
        <f>IF($G$1007&lt;&gt;0,($G534)*(H$1007/$G$1007),0)</f>
        <v>4744374.5974396057</v>
      </c>
      <c r="I534" s="48">
        <f>IF($G$1007&lt;&gt;0,($G534)*(I$1007/$G$1007),0)</f>
        <v>180473.62434835019</v>
      </c>
      <c r="J534" s="20">
        <f t="shared" si="178"/>
        <v>0</v>
      </c>
      <c r="L534" s="21">
        <v>4899998.53</v>
      </c>
      <c r="M534" s="21">
        <v>4924848.2217879556</v>
      </c>
      <c r="N534" s="21">
        <v>4924848.2217879556</v>
      </c>
      <c r="O534" s="21">
        <v>4924848.2217879556</v>
      </c>
      <c r="P534" s="21">
        <v>4899998.53</v>
      </c>
      <c r="Q534" s="21">
        <v>4899998.53</v>
      </c>
      <c r="R534" s="21">
        <v>4924848.2217879556</v>
      </c>
      <c r="S534" s="21">
        <v>4924848.2217879556</v>
      </c>
    </row>
    <row r="535" spans="1:19" x14ac:dyDescent="0.2">
      <c r="A535" s="13">
        <f t="shared" si="168"/>
        <v>535</v>
      </c>
      <c r="B535" s="4" t="s">
        <v>315</v>
      </c>
      <c r="C535" s="25"/>
      <c r="D535" s="43" t="s">
        <v>508</v>
      </c>
      <c r="E535" s="44">
        <f>A151</f>
        <v>151</v>
      </c>
      <c r="F535" s="45"/>
      <c r="G535" s="21">
        <f t="shared" si="176"/>
        <v>1584594.4195695526</v>
      </c>
      <c r="H535" s="48">
        <f>IF($G$151&lt;&gt;0,($G535)*(H151/$G$151),0)</f>
        <v>1516383.1196946267</v>
      </c>
      <c r="I535" s="48">
        <f>IF($G$151&lt;&gt;0,($G535)*(I151/$G$151),0)</f>
        <v>68211.299874926204</v>
      </c>
      <c r="J535" s="20">
        <f t="shared" si="178"/>
        <v>0</v>
      </c>
      <c r="L535" s="21">
        <v>1579040.68</v>
      </c>
      <c r="M535" s="21">
        <v>1584594.4195695526</v>
      </c>
      <c r="N535" s="21">
        <v>1584594.4195695526</v>
      </c>
      <c r="O535" s="21">
        <v>1584594.4195695526</v>
      </c>
      <c r="P535" s="21">
        <v>1579040.68</v>
      </c>
      <c r="Q535" s="21">
        <v>1579040.68</v>
      </c>
      <c r="R535" s="21">
        <v>1584594.4195695526</v>
      </c>
      <c r="S535" s="21">
        <v>1584594.4195695526</v>
      </c>
    </row>
    <row r="536" spans="1:19" x14ac:dyDescent="0.2">
      <c r="A536" s="13">
        <f t="shared" si="168"/>
        <v>536</v>
      </c>
      <c r="B536" s="4" t="s">
        <v>316</v>
      </c>
      <c r="C536" s="25"/>
      <c r="D536" s="43" t="s">
        <v>508</v>
      </c>
      <c r="E536" s="44" t="str">
        <f>A152&amp;"+"&amp;A153</f>
        <v>152+153</v>
      </c>
      <c r="F536" s="45"/>
      <c r="G536" s="21">
        <f t="shared" si="176"/>
        <v>4875029.7416730933</v>
      </c>
      <c r="H536" s="48">
        <f t="shared" ref="H536:I536" si="179">IF(SUM($G$152+$G$153)&lt;&gt;0,($G536)*(SUM(H$152+H$153)/SUM($G$152+$G$153)),0)</f>
        <v>4514613.8362493841</v>
      </c>
      <c r="I536" s="48">
        <f t="shared" si="179"/>
        <v>360415.90542370972</v>
      </c>
      <c r="J536" s="20">
        <f t="shared" si="178"/>
        <v>0</v>
      </c>
      <c r="L536" s="21">
        <v>4854331.4400000004</v>
      </c>
      <c r="M536" s="21">
        <v>4875029.7416730933</v>
      </c>
      <c r="N536" s="21">
        <v>4875029.7416730933</v>
      </c>
      <c r="O536" s="21">
        <v>4875029.7416730933</v>
      </c>
      <c r="P536" s="21">
        <v>4854331.4400000004</v>
      </c>
      <c r="Q536" s="21">
        <v>4854331.4400000004</v>
      </c>
      <c r="R536" s="21">
        <v>4875029.7416730933</v>
      </c>
      <c r="S536" s="21">
        <v>4875029.7416730933</v>
      </c>
    </row>
    <row r="537" spans="1:19" x14ac:dyDescent="0.2">
      <c r="A537" s="13">
        <f t="shared" si="168"/>
        <v>537</v>
      </c>
      <c r="B537" s="4" t="s">
        <v>317</v>
      </c>
      <c r="C537" s="25"/>
      <c r="D537" s="43" t="s">
        <v>508</v>
      </c>
      <c r="E537" s="44" t="str">
        <f>A154&amp;"+"&amp;A155</f>
        <v>154+155</v>
      </c>
      <c r="F537" s="45"/>
      <c r="G537" s="21">
        <f t="shared" si="176"/>
        <v>4580228.3651284156</v>
      </c>
      <c r="H537" s="48">
        <f t="shared" ref="H537:I537" si="180">IF(SUM($G$154+$G$155)&lt;&gt;0,($G537)*(SUM(H$154+H$155)/SUM($G$154+$G$155)),0)</f>
        <v>4511181.9148765551</v>
      </c>
      <c r="I537" s="48">
        <f t="shared" si="180"/>
        <v>69046.450251859555</v>
      </c>
      <c r="J537" s="20">
        <f t="shared" si="178"/>
        <v>0</v>
      </c>
      <c r="L537" s="21">
        <v>4573059</v>
      </c>
      <c r="M537" s="21">
        <v>4580228.3651284156</v>
      </c>
      <c r="N537" s="21">
        <v>4580228.3651284156</v>
      </c>
      <c r="O537" s="21">
        <v>4580228.3651284156</v>
      </c>
      <c r="P537" s="21">
        <v>4573059</v>
      </c>
      <c r="Q537" s="21">
        <v>4573059</v>
      </c>
      <c r="R537" s="21">
        <v>4580228.3651284156</v>
      </c>
      <c r="S537" s="21">
        <v>4580228.3651284156</v>
      </c>
    </row>
    <row r="538" spans="1:19" x14ac:dyDescent="0.2">
      <c r="A538" s="13">
        <f t="shared" si="168"/>
        <v>538</v>
      </c>
      <c r="B538" s="4" t="s">
        <v>318</v>
      </c>
      <c r="C538" s="25"/>
      <c r="D538" s="43" t="s">
        <v>508</v>
      </c>
      <c r="E538" s="44">
        <f>A160</f>
        <v>160</v>
      </c>
      <c r="F538" s="45"/>
      <c r="G538" s="21">
        <f t="shared" si="176"/>
        <v>563.00285294268565</v>
      </c>
      <c r="H538" s="48">
        <f t="shared" ref="H538:I538" si="181">IF($G$160&lt;&gt;0,($G538)*(H$160/$G$160),0)</f>
        <v>538.44384481026214</v>
      </c>
      <c r="I538" s="48">
        <f t="shared" si="181"/>
        <v>24.559008132423624</v>
      </c>
      <c r="J538" s="20">
        <f t="shared" si="178"/>
        <v>0</v>
      </c>
      <c r="L538" s="21">
        <v>560.94000000000005</v>
      </c>
      <c r="M538" s="21">
        <v>563.00285294268565</v>
      </c>
      <c r="N538" s="21">
        <v>563.00285294268565</v>
      </c>
      <c r="O538" s="21">
        <v>563.00285294268565</v>
      </c>
      <c r="P538" s="21">
        <v>560.94000000000005</v>
      </c>
      <c r="Q538" s="21">
        <v>560.94000000000005</v>
      </c>
      <c r="R538" s="21">
        <v>563.00285294268565</v>
      </c>
      <c r="S538" s="21">
        <v>563.00285294268565</v>
      </c>
    </row>
    <row r="539" spans="1:19" x14ac:dyDescent="0.2">
      <c r="A539" s="13">
        <f t="shared" si="168"/>
        <v>539</v>
      </c>
      <c r="B539" s="4" t="s">
        <v>319</v>
      </c>
      <c r="C539" s="25"/>
      <c r="D539" s="43" t="s">
        <v>508</v>
      </c>
      <c r="E539" s="44">
        <f>A158</f>
        <v>158</v>
      </c>
      <c r="F539" s="45"/>
      <c r="G539" s="21">
        <f t="shared" si="176"/>
        <v>5036453.449258212</v>
      </c>
      <c r="H539" s="48">
        <f t="shared" ref="H539:I539" si="182">IF($G$158&lt;&gt;0,($G539)*(H$158/$G$158),0)</f>
        <v>4868601.4489584351</v>
      </c>
      <c r="I539" s="48">
        <f t="shared" si="182"/>
        <v>167852.00029977728</v>
      </c>
      <c r="J539" s="20">
        <f t="shared" si="178"/>
        <v>0</v>
      </c>
      <c r="L539" s="21">
        <v>5014024.8600000003</v>
      </c>
      <c r="M539" s="21">
        <v>5036453.449258212</v>
      </c>
      <c r="N539" s="21">
        <v>5036453.449258212</v>
      </c>
      <c r="O539" s="21">
        <v>5036453.449258212</v>
      </c>
      <c r="P539" s="21">
        <v>5014024.8600000003</v>
      </c>
      <c r="Q539" s="21">
        <v>5014024.8600000003</v>
      </c>
      <c r="R539" s="21">
        <v>5036453.449258212</v>
      </c>
      <c r="S539" s="21">
        <v>5036453.449258212</v>
      </c>
    </row>
    <row r="540" spans="1:19" x14ac:dyDescent="0.2">
      <c r="A540" s="13">
        <f t="shared" si="168"/>
        <v>540</v>
      </c>
      <c r="B540" s="4" t="s">
        <v>320</v>
      </c>
      <c r="C540" s="25"/>
      <c r="D540" s="43" t="s">
        <v>508</v>
      </c>
      <c r="E540" s="44">
        <f>A159</f>
        <v>159</v>
      </c>
      <c r="F540" s="45"/>
      <c r="G540" s="21">
        <f t="shared" si="176"/>
        <v>1016206.6146109335</v>
      </c>
      <c r="H540" s="48">
        <f t="shared" ref="H540:I540" si="183">IF($G$159&lt;&gt;0,($G540)*(H$159/$G$159),0)</f>
        <v>955120.40657791845</v>
      </c>
      <c r="I540" s="48">
        <f t="shared" si="183"/>
        <v>61086.208033014787</v>
      </c>
      <c r="J540" s="20">
        <f t="shared" si="178"/>
        <v>0</v>
      </c>
      <c r="L540" s="21">
        <v>1011896.77</v>
      </c>
      <c r="M540" s="21">
        <v>1016206.6146109335</v>
      </c>
      <c r="N540" s="21">
        <v>1016206.6146109335</v>
      </c>
      <c r="O540" s="21">
        <v>1016206.6146109335</v>
      </c>
      <c r="P540" s="21">
        <v>1011896.77</v>
      </c>
      <c r="Q540" s="21">
        <v>1011896.77</v>
      </c>
      <c r="R540" s="21">
        <v>1016206.6146109335</v>
      </c>
      <c r="S540" s="21">
        <v>1016206.6146109335</v>
      </c>
    </row>
    <row r="541" spans="1:19" x14ac:dyDescent="0.2">
      <c r="A541" s="13">
        <f t="shared" si="168"/>
        <v>541</v>
      </c>
      <c r="B541" s="4" t="s">
        <v>321</v>
      </c>
      <c r="C541" s="25"/>
      <c r="D541" s="43" t="s">
        <v>508</v>
      </c>
      <c r="E541" s="44">
        <f>A162</f>
        <v>162</v>
      </c>
      <c r="F541" s="45"/>
      <c r="G541" s="21">
        <f t="shared" si="176"/>
        <v>4125507.3500164016</v>
      </c>
      <c r="H541" s="48">
        <f t="shared" ref="H541:I542" si="184">IF($G$162&lt;&gt;0,($G541)*(H$162/$G$162),0)</f>
        <v>3950643.7298273765</v>
      </c>
      <c r="I541" s="48">
        <f t="shared" si="184"/>
        <v>174863.62018902588</v>
      </c>
      <c r="J541" s="20">
        <f t="shared" si="178"/>
        <v>0</v>
      </c>
      <c r="L541" s="21">
        <v>4109600.65</v>
      </c>
      <c r="M541" s="21">
        <v>4125507.3500164016</v>
      </c>
      <c r="N541" s="21">
        <v>4125507.3500164016</v>
      </c>
      <c r="O541" s="21">
        <v>4125507.3500164016</v>
      </c>
      <c r="P541" s="21">
        <v>4109600.65</v>
      </c>
      <c r="Q541" s="21">
        <v>4109600.65</v>
      </c>
      <c r="R541" s="21">
        <v>4125507.3500164016</v>
      </c>
      <c r="S541" s="21">
        <v>4125507.3500164016</v>
      </c>
    </row>
    <row r="542" spans="1:19" x14ac:dyDescent="0.2">
      <c r="A542" s="13">
        <f t="shared" si="168"/>
        <v>542</v>
      </c>
      <c r="B542" s="4" t="s">
        <v>322</v>
      </c>
      <c r="C542" s="25"/>
      <c r="D542" s="43" t="s">
        <v>508</v>
      </c>
      <c r="E542" s="44">
        <f>A162</f>
        <v>162</v>
      </c>
      <c r="F542" s="45"/>
      <c r="G542" s="21">
        <f t="shared" si="176"/>
        <v>439479.23</v>
      </c>
      <c r="H542" s="48">
        <f t="shared" si="184"/>
        <v>420851.47766903404</v>
      </c>
      <c r="I542" s="48">
        <f t="shared" si="184"/>
        <v>18627.752330966036</v>
      </c>
      <c r="J542" s="20">
        <f t="shared" si="178"/>
        <v>0</v>
      </c>
      <c r="L542" s="21">
        <v>439479.23</v>
      </c>
      <c r="M542" s="21">
        <v>439479.23</v>
      </c>
      <c r="N542" s="21">
        <v>439479.23</v>
      </c>
      <c r="O542" s="21">
        <v>439479.23</v>
      </c>
      <c r="P542" s="21">
        <v>439479.23</v>
      </c>
      <c r="Q542" s="21">
        <v>439479.23</v>
      </c>
      <c r="R542" s="21">
        <v>439479.23</v>
      </c>
      <c r="S542" s="21">
        <v>439479.23</v>
      </c>
    </row>
    <row r="543" spans="1:19" x14ac:dyDescent="0.2">
      <c r="A543" s="13">
        <f t="shared" si="168"/>
        <v>543</v>
      </c>
      <c r="B543" s="4" t="s">
        <v>5</v>
      </c>
      <c r="C543" s="4" t="s">
        <v>323</v>
      </c>
      <c r="D543" s="43" t="s">
        <v>5</v>
      </c>
      <c r="E543" s="44" t="s">
        <v>5</v>
      </c>
      <c r="F543" s="45"/>
      <c r="G543" s="46">
        <f>SUM(G533:G542)</f>
        <v>30684053.46035964</v>
      </c>
      <c r="H543" s="46">
        <f t="shared" ref="H543:I543" si="185">SUM(H533:H542)</f>
        <v>29409621.124182541</v>
      </c>
      <c r="I543" s="46">
        <f t="shared" si="185"/>
        <v>1274432.3361771035</v>
      </c>
      <c r="J543" s="20">
        <f t="shared" si="178"/>
        <v>0</v>
      </c>
      <c r="L543" s="21">
        <v>0</v>
      </c>
      <c r="M543" s="21">
        <v>0</v>
      </c>
      <c r="N543" s="21">
        <v>0</v>
      </c>
      <c r="O543" s="21">
        <v>0</v>
      </c>
      <c r="P543" s="21">
        <v>0</v>
      </c>
      <c r="Q543" s="21">
        <v>0</v>
      </c>
      <c r="R543" s="21">
        <v>0</v>
      </c>
      <c r="S543" s="21">
        <v>0</v>
      </c>
    </row>
    <row r="544" spans="1:19" x14ac:dyDescent="0.2">
      <c r="A544" s="13">
        <f t="shared" si="168"/>
        <v>544</v>
      </c>
      <c r="B544" s="4" t="str">
        <f>" "</f>
        <v xml:space="preserve"> </v>
      </c>
      <c r="C544" s="4"/>
      <c r="D544" s="43"/>
      <c r="E544" s="44"/>
      <c r="F544" s="45"/>
      <c r="L544" s="21">
        <v>0</v>
      </c>
      <c r="M544" s="21">
        <v>0</v>
      </c>
      <c r="N544" s="21">
        <v>0</v>
      </c>
      <c r="O544" s="21">
        <v>0</v>
      </c>
      <c r="P544" s="21">
        <v>0</v>
      </c>
      <c r="Q544" s="21">
        <v>0</v>
      </c>
      <c r="R544" s="21">
        <v>0</v>
      </c>
      <c r="S544" s="21">
        <v>0</v>
      </c>
    </row>
    <row r="545" spans="1:19" x14ac:dyDescent="0.2">
      <c r="A545" s="13">
        <f t="shared" si="168"/>
        <v>545</v>
      </c>
      <c r="B545" s="4" t="s">
        <v>232</v>
      </c>
      <c r="C545" s="4"/>
      <c r="D545" s="43"/>
      <c r="E545" s="44"/>
      <c r="F545" s="45"/>
      <c r="L545" s="21">
        <v>0</v>
      </c>
      <c r="M545" s="21">
        <v>0</v>
      </c>
      <c r="N545" s="21">
        <v>0</v>
      </c>
      <c r="O545" s="21">
        <v>0</v>
      </c>
      <c r="P545" s="21">
        <v>0</v>
      </c>
      <c r="Q545" s="21">
        <v>0</v>
      </c>
      <c r="R545" s="21">
        <v>0</v>
      </c>
      <c r="S545" s="21">
        <v>0</v>
      </c>
    </row>
    <row r="546" spans="1:19" x14ac:dyDescent="0.2">
      <c r="A546" s="13">
        <f t="shared" si="168"/>
        <v>546</v>
      </c>
      <c r="B546" s="4" t="s">
        <v>324</v>
      </c>
      <c r="C546" s="25"/>
      <c r="D546" s="43" t="s">
        <v>508</v>
      </c>
      <c r="E546" s="44">
        <f>A162</f>
        <v>162</v>
      </c>
      <c r="F546" s="45"/>
      <c r="G546" s="21">
        <f t="shared" ref="G546:G554" si="186">IF($E$1149=1,($L546),IF($E$1149=2,($M546),IF($E$1149=3,($N546),IF($E$1149=4,($O546),IF($E$1149=5,($P546),IF($E$1149=6,($Q546),IF($E$1149=7,($R546),IF($E$1149=8,($S546),0))))))))</f>
        <v>10986.448159567095</v>
      </c>
      <c r="H546" s="48">
        <f t="shared" ref="H546:I546" si="187">IF($G$162&lt;&gt;0,($G546)*(H$162/$G$162),0)</f>
        <v>10520.77692565369</v>
      </c>
      <c r="I546" s="48">
        <f t="shared" si="187"/>
        <v>465.67123391340584</v>
      </c>
      <c r="J546" s="20">
        <f t="shared" ref="J546:J555" si="188">IF($E$1149=1,($G546),IF($E$1149=2,($G546),IF($E$1149=3,0,IF($E$1149=4,($H546),IF($E$1149=5,($I546),0)))))</f>
        <v>0</v>
      </c>
      <c r="L546" s="21">
        <v>10926.21</v>
      </c>
      <c r="M546" s="21">
        <v>10986.448159567095</v>
      </c>
      <c r="N546" s="21">
        <v>10986.448159567095</v>
      </c>
      <c r="O546" s="21">
        <v>10986.448159567095</v>
      </c>
      <c r="P546" s="21">
        <v>10926.21</v>
      </c>
      <c r="Q546" s="21">
        <v>10926.21</v>
      </c>
      <c r="R546" s="21">
        <v>10986.448159567095</v>
      </c>
      <c r="S546" s="21">
        <v>10986.448159567095</v>
      </c>
    </row>
    <row r="547" spans="1:19" x14ac:dyDescent="0.2">
      <c r="A547" s="13">
        <f t="shared" si="168"/>
        <v>547</v>
      </c>
      <c r="B547" s="4" t="s">
        <v>325</v>
      </c>
      <c r="C547" s="25"/>
      <c r="D547" s="43" t="s">
        <v>508</v>
      </c>
      <c r="E547" s="44">
        <f>A150</f>
        <v>150</v>
      </c>
      <c r="F547" s="45"/>
      <c r="G547" s="21">
        <f t="shared" si="186"/>
        <v>0</v>
      </c>
      <c r="H547" s="48">
        <f>IF($G$150&lt;&gt;0,($G547)*(H150/$G$150),0)</f>
        <v>0</v>
      </c>
      <c r="I547" s="48">
        <f>IF($G$150&lt;&gt;0,($G547)*(I150/$G$150),0)</f>
        <v>0</v>
      </c>
      <c r="J547" s="20">
        <f t="shared" si="188"/>
        <v>0</v>
      </c>
      <c r="L547" s="21">
        <v>0</v>
      </c>
      <c r="M547" s="21">
        <v>0</v>
      </c>
      <c r="N547" s="21">
        <v>0</v>
      </c>
      <c r="O547" s="21">
        <v>0</v>
      </c>
      <c r="P547" s="21">
        <v>0</v>
      </c>
      <c r="Q547" s="21">
        <v>0</v>
      </c>
      <c r="R547" s="21">
        <v>0</v>
      </c>
      <c r="S547" s="21">
        <v>0</v>
      </c>
    </row>
    <row r="548" spans="1:19" x14ac:dyDescent="0.2">
      <c r="A548" s="13">
        <f t="shared" si="168"/>
        <v>548</v>
      </c>
      <c r="B548" s="4" t="s">
        <v>326</v>
      </c>
      <c r="C548" s="25"/>
      <c r="D548" s="43" t="s">
        <v>508</v>
      </c>
      <c r="E548" s="44">
        <f>A151</f>
        <v>151</v>
      </c>
      <c r="F548" s="45"/>
      <c r="G548" s="21">
        <f t="shared" si="186"/>
        <v>4093388.0538133546</v>
      </c>
      <c r="H548" s="48">
        <f>IF($G$151&lt;&gt;0,($G548)*(H151/$G$151),0)</f>
        <v>3917181.8797950526</v>
      </c>
      <c r="I548" s="48">
        <f>IF($G$151&lt;&gt;0,($G548)*(I151/$G$151),0)</f>
        <v>176206.17401830229</v>
      </c>
      <c r="J548" s="20">
        <f t="shared" si="188"/>
        <v>0</v>
      </c>
      <c r="L548" s="21">
        <v>4077873.68</v>
      </c>
      <c r="M548" s="21">
        <v>4093388.0538133546</v>
      </c>
      <c r="N548" s="21">
        <v>4093388.0538133546</v>
      </c>
      <c r="O548" s="21">
        <v>4093388.0538133546</v>
      </c>
      <c r="P548" s="21">
        <v>4077873.68</v>
      </c>
      <c r="Q548" s="21">
        <v>4077873.68</v>
      </c>
      <c r="R548" s="21">
        <v>4093388.0538133546</v>
      </c>
      <c r="S548" s="21">
        <v>4093388.0538133546</v>
      </c>
    </row>
    <row r="549" spans="1:19" x14ac:dyDescent="0.2">
      <c r="A549" s="13">
        <f t="shared" si="168"/>
        <v>549</v>
      </c>
      <c r="B549" s="4" t="s">
        <v>327</v>
      </c>
      <c r="C549" s="25"/>
      <c r="D549" s="43" t="s">
        <v>508</v>
      </c>
      <c r="E549" s="44" t="str">
        <f>A152&amp;"+"&amp;A153</f>
        <v>152+153</v>
      </c>
      <c r="F549" s="45"/>
      <c r="G549" s="21">
        <f t="shared" si="186"/>
        <v>17723202.255837232</v>
      </c>
      <c r="H549" s="48">
        <f t="shared" ref="H549:I549" si="189">IF(SUM($G$152+$G$153)&lt;&gt;0,($G549)*(SUM(H$152+H$153)/SUM($G$152+$G$153)),0)</f>
        <v>16412907.893232409</v>
      </c>
      <c r="I549" s="48">
        <f t="shared" si="189"/>
        <v>1310294.3626048251</v>
      </c>
      <c r="J549" s="20">
        <f t="shared" si="188"/>
        <v>0</v>
      </c>
      <c r="L549" s="21">
        <v>17694888.25</v>
      </c>
      <c r="M549" s="21">
        <v>17723202.255837232</v>
      </c>
      <c r="N549" s="21">
        <v>17723202.255837232</v>
      </c>
      <c r="O549" s="21">
        <v>17723202.255837232</v>
      </c>
      <c r="P549" s="21">
        <v>17694888.25</v>
      </c>
      <c r="Q549" s="21">
        <v>17694888.25</v>
      </c>
      <c r="R549" s="21">
        <v>17723202.255837232</v>
      </c>
      <c r="S549" s="21">
        <v>17723202.255837232</v>
      </c>
    </row>
    <row r="550" spans="1:19" x14ac:dyDescent="0.2">
      <c r="A550" s="13">
        <f t="shared" si="168"/>
        <v>550</v>
      </c>
      <c r="B550" s="4" t="s">
        <v>328</v>
      </c>
      <c r="C550" s="25"/>
      <c r="D550" s="43" t="s">
        <v>508</v>
      </c>
      <c r="E550" s="44" t="str">
        <f>A154&amp;"+"&amp;A155</f>
        <v>154+155</v>
      </c>
      <c r="F550" s="45"/>
      <c r="G550" s="21">
        <f t="shared" si="186"/>
        <v>599449.44156212255</v>
      </c>
      <c r="H550" s="48">
        <f t="shared" ref="H550:I550" si="190">IF(SUM($G$154+$G$155)&lt;&gt;0,($G550)*(SUM(H$154+H$155)/SUM($G$154+$G$155)),0)</f>
        <v>590412.80566849629</v>
      </c>
      <c r="I550" s="48">
        <f t="shared" si="190"/>
        <v>9036.6358936261568</v>
      </c>
      <c r="J550" s="20">
        <f t="shared" si="188"/>
        <v>0</v>
      </c>
      <c r="L550" s="21">
        <v>597945.4</v>
      </c>
      <c r="M550" s="21">
        <v>599449.44156212255</v>
      </c>
      <c r="N550" s="21">
        <v>599449.44156212255</v>
      </c>
      <c r="O550" s="21">
        <v>599449.44156212255</v>
      </c>
      <c r="P550" s="21">
        <v>597945.4</v>
      </c>
      <c r="Q550" s="21">
        <v>597945.4</v>
      </c>
      <c r="R550" s="21">
        <v>599449.44156212255</v>
      </c>
      <c r="S550" s="21">
        <v>599449.44156212255</v>
      </c>
    </row>
    <row r="551" spans="1:19" x14ac:dyDescent="0.2">
      <c r="A551" s="13">
        <f t="shared" si="168"/>
        <v>551</v>
      </c>
      <c r="B551" s="4" t="s">
        <v>329</v>
      </c>
      <c r="C551" s="25"/>
      <c r="D551" s="43" t="s">
        <v>508</v>
      </c>
      <c r="E551" s="44">
        <f>A156</f>
        <v>156</v>
      </c>
      <c r="F551" s="45"/>
      <c r="G551" s="21">
        <f t="shared" si="186"/>
        <v>57966.853958544489</v>
      </c>
      <c r="H551" s="48">
        <f t="shared" ref="H551:I551" si="191">IF($G$156&lt;&gt;0,($G551)*(H$156/$G$156),0)</f>
        <v>55842.628448469375</v>
      </c>
      <c r="I551" s="48">
        <f t="shared" si="191"/>
        <v>2124.2255100751131</v>
      </c>
      <c r="J551" s="20">
        <f t="shared" si="188"/>
        <v>0</v>
      </c>
      <c r="L551" s="21">
        <v>57819.94</v>
      </c>
      <c r="M551" s="21">
        <v>57966.853958544489</v>
      </c>
      <c r="N551" s="21">
        <v>57966.853958544489</v>
      </c>
      <c r="O551" s="21">
        <v>57966.853958544489</v>
      </c>
      <c r="P551" s="21">
        <v>57819.94</v>
      </c>
      <c r="Q551" s="21">
        <v>57819.94</v>
      </c>
      <c r="R551" s="21">
        <v>57966.853958544489</v>
      </c>
      <c r="S551" s="21">
        <v>57966.853958544489</v>
      </c>
    </row>
    <row r="552" spans="1:19" x14ac:dyDescent="0.2">
      <c r="A552" s="13">
        <f t="shared" si="168"/>
        <v>552</v>
      </c>
      <c r="B552" s="4" t="s">
        <v>330</v>
      </c>
      <c r="C552" s="25"/>
      <c r="D552" s="43" t="s">
        <v>508</v>
      </c>
      <c r="E552" s="44">
        <f>A160</f>
        <v>160</v>
      </c>
      <c r="F552" s="45"/>
      <c r="G552" s="21">
        <f t="shared" si="186"/>
        <v>264391.89997895691</v>
      </c>
      <c r="H552" s="48">
        <f t="shared" ref="H552:I552" si="192">IF($G$160&lt;&gt;0,($G552)*(H$160/$G$160),0)</f>
        <v>252858.73849000238</v>
      </c>
      <c r="I552" s="48">
        <f t="shared" si="192"/>
        <v>11533.161488954571</v>
      </c>
      <c r="J552" s="20">
        <f t="shared" si="188"/>
        <v>0</v>
      </c>
      <c r="L552" s="21">
        <v>263540.95</v>
      </c>
      <c r="M552" s="21">
        <v>264391.89997895691</v>
      </c>
      <c r="N552" s="21">
        <v>264391.89997895691</v>
      </c>
      <c r="O552" s="21">
        <v>264391.89997895691</v>
      </c>
      <c r="P552" s="21">
        <v>263540.95</v>
      </c>
      <c r="Q552" s="21">
        <v>263540.95</v>
      </c>
      <c r="R552" s="21">
        <v>264391.89997895691</v>
      </c>
      <c r="S552" s="21">
        <v>264391.89997895691</v>
      </c>
    </row>
    <row r="553" spans="1:19" x14ac:dyDescent="0.2">
      <c r="A553" s="13">
        <f t="shared" si="168"/>
        <v>553</v>
      </c>
      <c r="B553" s="4" t="s">
        <v>331</v>
      </c>
      <c r="C553" s="25"/>
      <c r="D553" s="43" t="s">
        <v>508</v>
      </c>
      <c r="E553" s="44">
        <f>A158</f>
        <v>158</v>
      </c>
      <c r="F553" s="45"/>
      <c r="G553" s="21">
        <f t="shared" si="186"/>
        <v>846073.78521670913</v>
      </c>
      <c r="H553" s="48">
        <f t="shared" ref="H553:I553" si="193">IF($G$158&lt;&gt;0,($G553)*(H$158/$G$158),0)</f>
        <v>817876.32867697976</v>
      </c>
      <c r="I553" s="48">
        <f t="shared" si="193"/>
        <v>28197.456539729421</v>
      </c>
      <c r="J553" s="20">
        <f t="shared" si="188"/>
        <v>0</v>
      </c>
      <c r="L553" s="21">
        <v>841948.41</v>
      </c>
      <c r="M553" s="21">
        <v>846073.78521670913</v>
      </c>
      <c r="N553" s="21">
        <v>846073.78521670913</v>
      </c>
      <c r="O553" s="21">
        <v>846073.78521670913</v>
      </c>
      <c r="P553" s="21">
        <v>841948.41</v>
      </c>
      <c r="Q553" s="21">
        <v>841948.41</v>
      </c>
      <c r="R553" s="21">
        <v>846073.78521670913</v>
      </c>
      <c r="S553" s="21">
        <v>846073.78521670913</v>
      </c>
    </row>
    <row r="554" spans="1:19" x14ac:dyDescent="0.2">
      <c r="A554" s="13">
        <f t="shared" si="168"/>
        <v>554</v>
      </c>
      <c r="B554" s="4" t="s">
        <v>332</v>
      </c>
      <c r="C554" s="25"/>
      <c r="D554" s="43" t="s">
        <v>508</v>
      </c>
      <c r="E554" s="44">
        <f>A162</f>
        <v>162</v>
      </c>
      <c r="F554" s="45"/>
      <c r="G554" s="21">
        <f t="shared" si="186"/>
        <v>98487.595573842598</v>
      </c>
      <c r="H554" s="48">
        <f t="shared" ref="H554:I554" si="194">IF($G$162&lt;&gt;0,($G554)*(H$162/$G$162),0)</f>
        <v>94313.103555137001</v>
      </c>
      <c r="I554" s="48">
        <f t="shared" si="194"/>
        <v>4174.4920187056096</v>
      </c>
      <c r="J554" s="20">
        <f t="shared" si="188"/>
        <v>0</v>
      </c>
      <c r="L554" s="21">
        <v>98043.45</v>
      </c>
      <c r="M554" s="21">
        <v>98487.595573842598</v>
      </c>
      <c r="N554" s="21">
        <v>98487.595573842598</v>
      </c>
      <c r="O554" s="21">
        <v>98487.595573842598</v>
      </c>
      <c r="P554" s="21">
        <v>98043.45</v>
      </c>
      <c r="Q554" s="21">
        <v>98043.45</v>
      </c>
      <c r="R554" s="21">
        <v>98487.595573842598</v>
      </c>
      <c r="S554" s="21">
        <v>98487.595573842598</v>
      </c>
    </row>
    <row r="555" spans="1:19" x14ac:dyDescent="0.2">
      <c r="A555" s="13">
        <f t="shared" si="168"/>
        <v>555</v>
      </c>
      <c r="B555" s="4" t="s">
        <v>5</v>
      </c>
      <c r="C555" s="4" t="s">
        <v>333</v>
      </c>
      <c r="D555" s="43" t="s">
        <v>5</v>
      </c>
      <c r="E555" s="44" t="s">
        <v>5</v>
      </c>
      <c r="F555" s="45"/>
      <c r="G555" s="46">
        <f>SUM(G546:G554)</f>
        <v>23693946.334100328</v>
      </c>
      <c r="H555" s="46">
        <f t="shared" ref="H555:I555" si="195">SUM(H546:H554)</f>
        <v>22151914.154792197</v>
      </c>
      <c r="I555" s="46">
        <f t="shared" si="195"/>
        <v>1542032.1793081318</v>
      </c>
      <c r="J555" s="20">
        <f t="shared" si="188"/>
        <v>0</v>
      </c>
      <c r="L555" s="21">
        <v>0</v>
      </c>
      <c r="M555" s="21">
        <v>0</v>
      </c>
      <c r="N555" s="21">
        <v>0</v>
      </c>
      <c r="O555" s="21">
        <v>0</v>
      </c>
      <c r="P555" s="21">
        <v>0</v>
      </c>
      <c r="Q555" s="21">
        <v>0</v>
      </c>
      <c r="R555" s="21">
        <v>0</v>
      </c>
      <c r="S555" s="21">
        <v>0</v>
      </c>
    </row>
    <row r="556" spans="1:19" x14ac:dyDescent="0.2">
      <c r="A556" s="13">
        <f t="shared" si="168"/>
        <v>556</v>
      </c>
      <c r="B556" s="4" t="s">
        <v>5</v>
      </c>
      <c r="C556" s="4" t="s">
        <v>5</v>
      </c>
      <c r="D556" s="43" t="s">
        <v>5</v>
      </c>
      <c r="E556" s="44" t="s">
        <v>5</v>
      </c>
      <c r="F556" s="45"/>
      <c r="G556" s="46"/>
      <c r="H556" s="46"/>
      <c r="I556" s="46"/>
      <c r="L556" s="21">
        <v>0</v>
      </c>
      <c r="M556" s="21">
        <v>0</v>
      </c>
      <c r="N556" s="21">
        <v>0</v>
      </c>
      <c r="O556" s="21">
        <v>0</v>
      </c>
      <c r="P556" s="21">
        <v>0</v>
      </c>
      <c r="Q556" s="21">
        <v>0</v>
      </c>
      <c r="R556" s="21">
        <v>0</v>
      </c>
      <c r="S556" s="21">
        <v>0</v>
      </c>
    </row>
    <row r="557" spans="1:19" x14ac:dyDescent="0.2">
      <c r="A557" s="13">
        <f t="shared" si="168"/>
        <v>557</v>
      </c>
      <c r="B557" s="4" t="s">
        <v>5</v>
      </c>
      <c r="C557" s="4" t="s">
        <v>334</v>
      </c>
      <c r="D557" s="43" t="s">
        <v>5</v>
      </c>
      <c r="E557" s="44" t="s">
        <v>5</v>
      </c>
      <c r="F557" s="45"/>
      <c r="G557" s="46">
        <f>SUM(G543+G555)</f>
        <v>54377999.794459969</v>
      </c>
      <c r="H557" s="46">
        <f t="shared" ref="H557:I557" si="196">SUM(H543+H555)</f>
        <v>51561535.278974742</v>
      </c>
      <c r="I557" s="46">
        <f t="shared" si="196"/>
        <v>2816464.5154852355</v>
      </c>
      <c r="J557" s="20">
        <f>IF($E$1149=1,($G557),IF($E$1149=2,($G557),IF($E$1149=3,0,IF($E$1149=4,($H557),IF($E$1149=5,($I557),0)))))</f>
        <v>0</v>
      </c>
      <c r="L557" s="21">
        <v>0</v>
      </c>
      <c r="M557" s="21">
        <v>0</v>
      </c>
      <c r="N557" s="21">
        <v>0</v>
      </c>
      <c r="O557" s="21">
        <v>0</v>
      </c>
      <c r="P557" s="21">
        <v>0</v>
      </c>
      <c r="Q557" s="21">
        <v>0</v>
      </c>
      <c r="R557" s="21">
        <v>0</v>
      </c>
      <c r="S557" s="21">
        <v>0</v>
      </c>
    </row>
    <row r="558" spans="1:19" x14ac:dyDescent="0.2">
      <c r="A558" s="13">
        <f t="shared" si="168"/>
        <v>558</v>
      </c>
      <c r="B558" s="4" t="s">
        <v>5</v>
      </c>
      <c r="C558" s="4" t="s">
        <v>5</v>
      </c>
      <c r="D558" s="43"/>
      <c r="E558" s="44" t="s">
        <v>5</v>
      </c>
      <c r="F558" s="45"/>
      <c r="L558" s="21">
        <v>0</v>
      </c>
      <c r="M558" s="21">
        <v>0</v>
      </c>
      <c r="N558" s="21">
        <v>0</v>
      </c>
      <c r="O558" s="21">
        <v>0</v>
      </c>
      <c r="P558" s="21">
        <v>0</v>
      </c>
      <c r="Q558" s="21">
        <v>0</v>
      </c>
      <c r="R558" s="21">
        <v>0</v>
      </c>
      <c r="S558" s="21">
        <v>0</v>
      </c>
    </row>
    <row r="559" spans="1:19" x14ac:dyDescent="0.2">
      <c r="A559" s="13">
        <f t="shared" si="168"/>
        <v>559</v>
      </c>
      <c r="B559" s="4" t="s">
        <v>335</v>
      </c>
      <c r="C559" s="4"/>
      <c r="D559" s="43"/>
      <c r="E559" s="44" t="s">
        <v>5</v>
      </c>
      <c r="F559" s="45"/>
      <c r="L559" s="21">
        <v>0</v>
      </c>
      <c r="M559" s="21">
        <v>0</v>
      </c>
      <c r="N559" s="21">
        <v>0</v>
      </c>
      <c r="O559" s="21">
        <v>0</v>
      </c>
      <c r="P559" s="21">
        <v>0</v>
      </c>
      <c r="Q559" s="21">
        <v>0</v>
      </c>
      <c r="R559" s="21">
        <v>0</v>
      </c>
      <c r="S559" s="21">
        <v>0</v>
      </c>
    </row>
    <row r="560" spans="1:19" x14ac:dyDescent="0.2">
      <c r="A560" s="13">
        <f t="shared" si="168"/>
        <v>560</v>
      </c>
      <c r="B560" s="4" t="s">
        <v>336</v>
      </c>
      <c r="C560" s="25"/>
      <c r="D560" s="43" t="s">
        <v>508</v>
      </c>
      <c r="E560" s="44">
        <f>A955</f>
        <v>955</v>
      </c>
      <c r="F560" s="45"/>
      <c r="G560" s="21">
        <f>IF($E$1149=1,($L560),IF($E$1149=2,($M560),IF($E$1149=3,($N560),IF($E$1149=4,($O560),IF($E$1149=5,($P560),IF($E$1149=6,($Q560),IF($E$1149=7,($R560),IF($E$1149=8,($S560),0))))))))</f>
        <v>846318.9295781008</v>
      </c>
      <c r="H560" s="48">
        <f>IF($G955&lt;&gt;0,($G560)*(H955/$G955),0)</f>
        <v>804308.99168339395</v>
      </c>
      <c r="I560" s="48">
        <f>IF($G955&lt;&gt;0,($G560)*(I955/$G955),0)</f>
        <v>42009.937894706796</v>
      </c>
      <c r="J560" s="20">
        <f t="shared" ref="J560:J565" si="197">IF($E$1149=1,($G560),IF($E$1149=2,($G560),IF($E$1149=3,0,IF($E$1149=4,($H560),IF($E$1149=5,($I560),0)))))</f>
        <v>0</v>
      </c>
      <c r="L560" s="21">
        <v>841925.9</v>
      </c>
      <c r="M560" s="21">
        <v>846318.9295781008</v>
      </c>
      <c r="N560" s="21">
        <v>846318.9295781008</v>
      </c>
      <c r="O560" s="21">
        <v>846318.9295781008</v>
      </c>
      <c r="P560" s="21">
        <v>841925.9</v>
      </c>
      <c r="Q560" s="21">
        <v>841925.9</v>
      </c>
      <c r="R560" s="21">
        <v>846318.9295781008</v>
      </c>
      <c r="S560" s="21">
        <v>846318.9295781008</v>
      </c>
    </row>
    <row r="561" spans="1:19" x14ac:dyDescent="0.2">
      <c r="A561" s="13">
        <f t="shared" si="168"/>
        <v>561</v>
      </c>
      <c r="B561" s="4" t="s">
        <v>337</v>
      </c>
      <c r="C561" s="25"/>
      <c r="D561" s="43" t="s">
        <v>5</v>
      </c>
      <c r="E561" s="44" t="str">
        <f>(E$1017)</f>
        <v>CW902</v>
      </c>
      <c r="F561" s="45"/>
      <c r="G561" s="21">
        <f>IF($E$1149=1,($L561),IF($E$1149=2,($M561),IF($E$1149=3,($N561),IF($E$1149=4,($O561),IF($E$1149=5,($P561),IF($E$1149=6,($Q561),IF($E$1149=7,($R561),IF($E$1149=8,($S561),0))))))))</f>
        <v>1879185.2474821752</v>
      </c>
      <c r="H561" s="48">
        <f t="shared" ref="H561:I563" si="198">IF($G1017&lt;&gt;0,($G561)*(H1017/$G1017),0)</f>
        <v>1541427.8063855057</v>
      </c>
      <c r="I561" s="48">
        <f t="shared" si="198"/>
        <v>337757.44109666959</v>
      </c>
      <c r="J561" s="20">
        <f t="shared" si="197"/>
        <v>0</v>
      </c>
      <c r="L561" s="21">
        <v>1871924.32</v>
      </c>
      <c r="M561" s="21">
        <v>1879185.2474821752</v>
      </c>
      <c r="N561" s="21">
        <v>1879185.2474821752</v>
      </c>
      <c r="O561" s="21">
        <v>1879185.2474821752</v>
      </c>
      <c r="P561" s="21">
        <v>1871924.32</v>
      </c>
      <c r="Q561" s="21">
        <v>1871924.32</v>
      </c>
      <c r="R561" s="21">
        <v>1879185.2474821752</v>
      </c>
      <c r="S561" s="21">
        <v>1879185.2474821752</v>
      </c>
    </row>
    <row r="562" spans="1:19" x14ac:dyDescent="0.2">
      <c r="A562" s="13">
        <f t="shared" si="168"/>
        <v>562</v>
      </c>
      <c r="B562" s="4" t="s">
        <v>338</v>
      </c>
      <c r="C562" s="25"/>
      <c r="D562" s="43"/>
      <c r="E562" s="44" t="str">
        <f>(E$1018)</f>
        <v>CW903</v>
      </c>
      <c r="F562" s="45"/>
      <c r="G562" s="21">
        <f>IF($E$1149=1,($L562),IF($E$1149=2,($M562),IF($E$1149=3,($N562),IF($E$1149=4,($O562),IF($E$1149=5,($P562),IF($E$1149=6,($Q562),IF($E$1149=7,($R562),IF($E$1149=8,($S562),0))))))))</f>
        <v>14055798.531373784</v>
      </c>
      <c r="H562" s="48">
        <f t="shared" si="198"/>
        <v>13596333.776824486</v>
      </c>
      <c r="I562" s="48">
        <f t="shared" si="198"/>
        <v>459464.75454929884</v>
      </c>
      <c r="J562" s="20">
        <f t="shared" si="197"/>
        <v>0</v>
      </c>
      <c r="L562" s="21">
        <v>14000067.49</v>
      </c>
      <c r="M562" s="21">
        <v>14055798.531373784</v>
      </c>
      <c r="N562" s="21">
        <v>14055798.531373784</v>
      </c>
      <c r="O562" s="21">
        <v>14055798.531373784</v>
      </c>
      <c r="P562" s="21">
        <v>14000067.49</v>
      </c>
      <c r="Q562" s="21">
        <v>14000067.49</v>
      </c>
      <c r="R562" s="21">
        <v>14055798.531373784</v>
      </c>
      <c r="S562" s="21">
        <v>14055798.531373784</v>
      </c>
    </row>
    <row r="563" spans="1:19" x14ac:dyDescent="0.2">
      <c r="A563" s="13">
        <f t="shared" si="168"/>
        <v>563</v>
      </c>
      <c r="B563" s="4" t="s">
        <v>339</v>
      </c>
      <c r="C563" s="25"/>
      <c r="D563" s="43" t="s">
        <v>5</v>
      </c>
      <c r="E563" s="44" t="str">
        <f>(E$1019)</f>
        <v>CW904</v>
      </c>
      <c r="F563" s="45"/>
      <c r="G563" s="21">
        <f>IF($E$1149=1,($L563),IF($E$1149=2,($M563),IF($E$1149=3,($N563),IF($E$1149=4,($O563),IF($E$1149=5,($P563),IF($E$1149=6,($Q563),IF($E$1149=7,($R563),IF($E$1149=8,($S563),0))))))))</f>
        <v>2363139.79</v>
      </c>
      <c r="H563" s="48">
        <f t="shared" si="198"/>
        <v>2193997.4900595294</v>
      </c>
      <c r="I563" s="48">
        <f t="shared" si="198"/>
        <v>169142.29994047052</v>
      </c>
      <c r="J563" s="20">
        <f t="shared" si="197"/>
        <v>0</v>
      </c>
      <c r="L563" s="21">
        <v>2363139.79</v>
      </c>
      <c r="M563" s="21">
        <v>2363139.79</v>
      </c>
      <c r="N563" s="21">
        <v>2363139.79</v>
      </c>
      <c r="O563" s="21">
        <v>2363139.79</v>
      </c>
      <c r="P563" s="21">
        <v>2363139.79</v>
      </c>
      <c r="Q563" s="21">
        <v>2363139.79</v>
      </c>
      <c r="R563" s="21">
        <v>2363139.79</v>
      </c>
      <c r="S563" s="21">
        <v>2363139.79</v>
      </c>
    </row>
    <row r="564" spans="1:19" x14ac:dyDescent="0.2">
      <c r="A564" s="13">
        <f t="shared" si="168"/>
        <v>564</v>
      </c>
      <c r="B564" s="4" t="s">
        <v>340</v>
      </c>
      <c r="C564" s="25"/>
      <c r="D564" s="43" t="s">
        <v>508</v>
      </c>
      <c r="E564" s="44" t="str">
        <f>A561&amp;"+"&amp;A562&amp;"+"&amp;A563</f>
        <v>561+562+563</v>
      </c>
      <c r="F564" s="45"/>
      <c r="G564" s="21">
        <f>IF($E$1149=1,($L564),IF($E$1149=2,($M564),IF($E$1149=3,($N564),IF($E$1149=4,($O564),IF($E$1149=5,($P564),IF($E$1149=6,($Q564),IF($E$1149=7,($R564),IF($E$1149=8,($S564),0))))))))</f>
        <v>423.33</v>
      </c>
      <c r="H564" s="48">
        <f>IF(SUM($G$561:$G$563)&lt;&gt;0,($G564)*(SUM(H$561:H$563)/SUM($G$561:$G$563)),0)</f>
        <v>400.97300364585493</v>
      </c>
      <c r="I564" s="48">
        <f>IF(SUM($G$561:$G$563)&lt;&gt;0,($G564)*(SUM(I$561:I$563)/SUM($G$561:$G$563)),0)</f>
        <v>22.356996354144989</v>
      </c>
      <c r="J564" s="20">
        <f t="shared" si="197"/>
        <v>0</v>
      </c>
      <c r="L564" s="21">
        <v>423.33</v>
      </c>
      <c r="M564" s="21">
        <v>423.33</v>
      </c>
      <c r="N564" s="21">
        <v>423.33</v>
      </c>
      <c r="O564" s="21">
        <v>423.33</v>
      </c>
      <c r="P564" s="21">
        <v>423.33</v>
      </c>
      <c r="Q564" s="21">
        <v>423.33</v>
      </c>
      <c r="R564" s="21">
        <v>423.33</v>
      </c>
      <c r="S564" s="21">
        <v>423.33</v>
      </c>
    </row>
    <row r="565" spans="1:19" x14ac:dyDescent="0.2">
      <c r="A565" s="13">
        <f t="shared" si="168"/>
        <v>565</v>
      </c>
      <c r="B565" s="4" t="s">
        <v>5</v>
      </c>
      <c r="C565" s="4" t="s">
        <v>341</v>
      </c>
      <c r="D565" s="43" t="s">
        <v>5</v>
      </c>
      <c r="E565" s="44" t="s">
        <v>5</v>
      </c>
      <c r="F565" s="45"/>
      <c r="G565" s="46">
        <f>SUM(G560:G564)</f>
        <v>19144865.828434058</v>
      </c>
      <c r="H565" s="46">
        <f t="shared" ref="H565:I565" si="199">SUM(H560:H564)</f>
        <v>18136469.037956558</v>
      </c>
      <c r="I565" s="46">
        <f t="shared" si="199"/>
        <v>1008396.7904774999</v>
      </c>
      <c r="J565" s="20">
        <f t="shared" si="197"/>
        <v>0</v>
      </c>
      <c r="L565" s="21">
        <v>0</v>
      </c>
      <c r="M565" s="21">
        <v>0</v>
      </c>
      <c r="N565" s="21">
        <v>0</v>
      </c>
      <c r="O565" s="21">
        <v>0</v>
      </c>
      <c r="P565" s="21">
        <v>0</v>
      </c>
      <c r="Q565" s="21">
        <v>0</v>
      </c>
      <c r="R565" s="21">
        <v>0</v>
      </c>
      <c r="S565" s="21">
        <v>0</v>
      </c>
    </row>
    <row r="566" spans="1:19" x14ac:dyDescent="0.2">
      <c r="A566" s="13">
        <f t="shared" si="168"/>
        <v>566</v>
      </c>
      <c r="B566" s="4" t="s">
        <v>342</v>
      </c>
      <c r="C566" s="4"/>
      <c r="D566" s="43"/>
      <c r="E566" s="44" t="s">
        <v>5</v>
      </c>
      <c r="F566" s="45"/>
      <c r="L566" s="21">
        <v>0</v>
      </c>
      <c r="M566" s="21">
        <v>0</v>
      </c>
      <c r="N566" s="21">
        <v>0</v>
      </c>
      <c r="O566" s="21">
        <v>0</v>
      </c>
      <c r="P566" s="21">
        <v>0</v>
      </c>
      <c r="Q566" s="21">
        <v>0</v>
      </c>
      <c r="R566" s="21">
        <v>0</v>
      </c>
      <c r="S566" s="21">
        <v>0</v>
      </c>
    </row>
    <row r="567" spans="1:19" x14ac:dyDescent="0.2">
      <c r="A567" s="13">
        <f t="shared" si="168"/>
        <v>567</v>
      </c>
      <c r="B567" s="4" t="s">
        <v>343</v>
      </c>
      <c r="C567" s="25"/>
      <c r="D567" s="43" t="s">
        <v>508</v>
      </c>
      <c r="E567" s="44">
        <f>A962</f>
        <v>962</v>
      </c>
      <c r="F567" s="45"/>
      <c r="G567" s="21">
        <f>IF($E$1149=1,($L567),IF($E$1149=2,($M567),IF($E$1149=3,($N567),IF($E$1149=4,($O567),IF($E$1149=5,($P567),IF($E$1149=6,($Q567),IF($E$1149=7,($R567),IF($E$1149=8,($S567),0))))))))</f>
        <v>797582</v>
      </c>
      <c r="H567" s="48">
        <f>IF($G962&lt;&gt;0,($G567)*(H962/$G962),0)</f>
        <v>771429.58389948506</v>
      </c>
      <c r="I567" s="48">
        <f>IF($G962&lt;&gt;0,($G567)*(I962/$G962),0)</f>
        <v>26152.416100514816</v>
      </c>
      <c r="J567" s="20">
        <f>IF($E$1149=1,($G567),IF($E$1149=2,($G567),IF($E$1149=3,0,IF($E$1149=4,($H567),IF($E$1149=5,($I567),0)))))</f>
        <v>0</v>
      </c>
      <c r="L567" s="21">
        <v>793300</v>
      </c>
      <c r="M567" s="21">
        <v>797582</v>
      </c>
      <c r="N567" s="21">
        <v>797582</v>
      </c>
      <c r="O567" s="21">
        <v>797582</v>
      </c>
      <c r="P567" s="21">
        <v>793300</v>
      </c>
      <c r="Q567" s="21">
        <v>793300</v>
      </c>
      <c r="R567" s="21">
        <v>797582</v>
      </c>
      <c r="S567" s="21">
        <v>797582</v>
      </c>
    </row>
    <row r="568" spans="1:19" x14ac:dyDescent="0.2">
      <c r="A568" s="13">
        <f t="shared" si="168"/>
        <v>568</v>
      </c>
      <c r="B568" s="4" t="s">
        <v>344</v>
      </c>
      <c r="C568" s="25"/>
      <c r="D568" s="43" t="s">
        <v>5</v>
      </c>
      <c r="E568" s="44"/>
      <c r="F568" s="45"/>
      <c r="L568" s="21">
        <v>0</v>
      </c>
      <c r="M568" s="21">
        <v>0</v>
      </c>
      <c r="N568" s="21">
        <v>0</v>
      </c>
      <c r="O568" s="21">
        <v>0</v>
      </c>
      <c r="P568" s="21">
        <v>0</v>
      </c>
      <c r="Q568" s="21">
        <v>0</v>
      </c>
      <c r="R568" s="21">
        <v>0</v>
      </c>
      <c r="S568" s="21">
        <v>0</v>
      </c>
    </row>
    <row r="569" spans="1:19" x14ac:dyDescent="0.2">
      <c r="A569" s="13">
        <f t="shared" si="168"/>
        <v>569</v>
      </c>
      <c r="B569" s="4" t="s">
        <v>345</v>
      </c>
      <c r="C569" s="25"/>
      <c r="D569" s="43"/>
      <c r="E569" s="44" t="str">
        <f>(E$1011)</f>
        <v>E100</v>
      </c>
      <c r="F569" s="45"/>
      <c r="G569" s="21">
        <f>IF($E$1149=1,($L569),IF($E$1149=2,($M569),IF($E$1149=3,($N569),IF($E$1149=4,($O569),IF($E$1149=5,($P569),IF($E$1149=6,($Q569),IF($E$1149=7,($R569),IF($E$1149=8,($S569),0))))))))</f>
        <v>290217.92000000004</v>
      </c>
      <c r="H569" s="48">
        <f>IF($G1011&lt;&gt;0,($G569)*(H1011/$G1011),0)</f>
        <v>277395.32157107542</v>
      </c>
      <c r="I569" s="48">
        <f>IF($G1011&lt;&gt;0,($G569)*(I1011/$G1011),0)</f>
        <v>12822.598428924621</v>
      </c>
      <c r="J569" s="20">
        <f t="shared" ref="J569:J574" si="200">IF($E$1149=1,($G569),IF($E$1149=2,($G569),IF($E$1149=3,0,IF($E$1149=4,($H569),IF($E$1149=5,($I569),0)))))</f>
        <v>0</v>
      </c>
      <c r="L569" s="21">
        <v>290217.92000000004</v>
      </c>
      <c r="M569" s="21">
        <v>290217.92000000004</v>
      </c>
      <c r="N569" s="21">
        <v>290217.92000000004</v>
      </c>
      <c r="O569" s="21">
        <v>290217.92000000004</v>
      </c>
      <c r="P569" s="21">
        <v>290217.92000000004</v>
      </c>
      <c r="Q569" s="21">
        <v>290217.92000000004</v>
      </c>
      <c r="R569" s="21">
        <v>290217.92000000004</v>
      </c>
      <c r="S569" s="21">
        <v>290217.92000000004</v>
      </c>
    </row>
    <row r="570" spans="1:19" x14ac:dyDescent="0.2">
      <c r="A570" s="13">
        <f t="shared" si="168"/>
        <v>570</v>
      </c>
      <c r="B570" s="4" t="s">
        <v>225</v>
      </c>
      <c r="C570" s="25"/>
      <c r="D570" s="43" t="s">
        <v>5</v>
      </c>
      <c r="E570" s="44" t="str">
        <f>(E$1043)</f>
        <v>DA908</v>
      </c>
      <c r="F570" s="45"/>
      <c r="G570" s="21">
        <f>IF($E$1149=1,($L570),IF($E$1149=2,($M570),IF($E$1149=3,($N570),IF($E$1149=4,($O570),IF($E$1149=5,($P570),IF($E$1149=6,($Q570),IF($E$1149=7,($R570),IF($E$1149=8,($S570),0))))))))</f>
        <v>6283448.0799999982</v>
      </c>
      <c r="H570" s="48">
        <f>IF($G1043&lt;&gt;0,($G570)*(H1043/$G1043),0)</f>
        <v>6080722.6237614313</v>
      </c>
      <c r="I570" s="48">
        <f>IF($G1043&lt;&gt;0,($G570)*(I1043/$G1043),0)</f>
        <v>202725.45623856634</v>
      </c>
      <c r="J570" s="20">
        <f t="shared" si="200"/>
        <v>0</v>
      </c>
      <c r="L570" s="21">
        <v>36177879.079999998</v>
      </c>
      <c r="M570" s="21">
        <v>6283448.0799999982</v>
      </c>
      <c r="N570" s="21">
        <v>6283448.0799999982</v>
      </c>
      <c r="O570" s="21">
        <v>6283448.0799999982</v>
      </c>
      <c r="P570" s="21">
        <v>36177879.079999998</v>
      </c>
      <c r="Q570" s="21">
        <v>6257431.0799999982</v>
      </c>
      <c r="R570" s="21">
        <v>6283448.0799999982</v>
      </c>
      <c r="S570" s="21">
        <v>6283448.0799999982</v>
      </c>
    </row>
    <row r="571" spans="1:19" x14ac:dyDescent="0.2">
      <c r="A571" s="13">
        <f t="shared" si="168"/>
        <v>571</v>
      </c>
      <c r="B571" s="4" t="s">
        <v>5</v>
      </c>
      <c r="C571" s="4" t="s">
        <v>346</v>
      </c>
      <c r="D571" s="43"/>
      <c r="E571" s="44" t="s">
        <v>5</v>
      </c>
      <c r="F571" s="45"/>
      <c r="G571" s="46">
        <f>SUM(G569:G570)</f>
        <v>6573665.9999999981</v>
      </c>
      <c r="H571" s="46">
        <f t="shared" ref="H571:I571" si="201">SUM(H569:H570)</f>
        <v>6358117.9453325067</v>
      </c>
      <c r="I571" s="46">
        <f t="shared" si="201"/>
        <v>215548.05466749097</v>
      </c>
      <c r="J571" s="20">
        <f t="shared" si="200"/>
        <v>0</v>
      </c>
      <c r="L571" s="21">
        <v>0</v>
      </c>
      <c r="M571" s="21">
        <v>0</v>
      </c>
      <c r="N571" s="21">
        <v>0</v>
      </c>
      <c r="O571" s="21">
        <v>0</v>
      </c>
      <c r="P571" s="21">
        <v>0</v>
      </c>
      <c r="Q571" s="21">
        <v>0</v>
      </c>
      <c r="R571" s="21">
        <v>0</v>
      </c>
      <c r="S571" s="21">
        <v>0</v>
      </c>
    </row>
    <row r="572" spans="1:19" x14ac:dyDescent="0.2">
      <c r="A572" s="13">
        <f t="shared" si="168"/>
        <v>572</v>
      </c>
      <c r="B572" s="4" t="s">
        <v>347</v>
      </c>
      <c r="C572" s="25"/>
      <c r="D572" s="43" t="s">
        <v>5</v>
      </c>
      <c r="E572" s="44" t="str">
        <f>(E$1020)</f>
        <v>DA909</v>
      </c>
      <c r="F572" s="45"/>
      <c r="G572" s="21">
        <f>IF($E$1149=1,($L572),IF($E$1149=2,($M572),IF($E$1149=3,($N572),IF($E$1149=4,($O572),IF($E$1149=5,($P572),IF($E$1149=6,($Q572),IF($E$1149=7,($R572),IF($E$1149=8,($S572),0))))))))</f>
        <v>294368.87</v>
      </c>
      <c r="H572" s="48">
        <f>IF($G1020&lt;&gt;0,($G572)*(H1020/$G1020),0)</f>
        <v>284744.53066510969</v>
      </c>
      <c r="I572" s="48">
        <f>IF($G1020&lt;&gt;0,($G572)*(I1020/$G1020),0)</f>
        <v>9624.3393348902919</v>
      </c>
      <c r="J572" s="20">
        <f t="shared" si="200"/>
        <v>0</v>
      </c>
      <c r="L572" s="21">
        <v>294368.87</v>
      </c>
      <c r="M572" s="21">
        <v>294368.87</v>
      </c>
      <c r="N572" s="21">
        <v>294368.87</v>
      </c>
      <c r="O572" s="21">
        <v>294368.87</v>
      </c>
      <c r="P572" s="21">
        <v>294368.87</v>
      </c>
      <c r="Q572" s="21">
        <v>294368.87</v>
      </c>
      <c r="R572" s="21">
        <v>294368.87</v>
      </c>
      <c r="S572" s="21">
        <v>294368.87</v>
      </c>
    </row>
    <row r="573" spans="1:19" x14ac:dyDescent="0.2">
      <c r="A573" s="13">
        <f t="shared" si="168"/>
        <v>573</v>
      </c>
      <c r="B573" s="4" t="s">
        <v>348</v>
      </c>
      <c r="C573" s="25"/>
      <c r="D573" s="43" t="s">
        <v>508</v>
      </c>
      <c r="E573" s="44" t="str">
        <f>A571&amp;"+"&amp;A572</f>
        <v>571+572</v>
      </c>
      <c r="F573" s="45"/>
      <c r="G573" s="21">
        <f>IF($E$1149=1,($L573),IF($E$1149=2,($M573),IF($E$1149=3,($N573),IF($E$1149=4,($O573),IF($E$1149=5,($P573),IF($E$1149=6,($Q573),IF($E$1149=7,($R573),IF($E$1149=8,($S573),0))))))))</f>
        <v>853170.67</v>
      </c>
      <c r="H573" s="48">
        <f>IF(SUM($G$571+$G572)&lt;&gt;0,($G573)*(SUM(H$571+H$572)/SUM($G$571+$G$572)),0)</f>
        <v>825198.98874141078</v>
      </c>
      <c r="I573" s="48">
        <f>IF(SUM($G$571+$G572)&lt;&gt;0,($G573)*(SUM(I$571+I$572)/SUM($G$571+$G$572)),0)</f>
        <v>27971.681258589135</v>
      </c>
      <c r="J573" s="20">
        <f t="shared" si="200"/>
        <v>0</v>
      </c>
      <c r="L573" s="21">
        <v>850623.67</v>
      </c>
      <c r="M573" s="21">
        <v>853170.67</v>
      </c>
      <c r="N573" s="21">
        <v>853170.67</v>
      </c>
      <c r="O573" s="21">
        <v>853170.67</v>
      </c>
      <c r="P573" s="21">
        <v>850623.67</v>
      </c>
      <c r="Q573" s="21">
        <v>850623.67</v>
      </c>
      <c r="R573" s="21">
        <v>853170.67</v>
      </c>
      <c r="S573" s="21">
        <v>853170.67</v>
      </c>
    </row>
    <row r="574" spans="1:19" x14ac:dyDescent="0.2">
      <c r="A574" s="13">
        <f t="shared" si="168"/>
        <v>574</v>
      </c>
      <c r="B574" s="4" t="s">
        <v>5</v>
      </c>
      <c r="C574" s="4" t="s">
        <v>349</v>
      </c>
      <c r="D574" s="43" t="s">
        <v>5</v>
      </c>
      <c r="E574" s="44" t="s">
        <v>5</v>
      </c>
      <c r="F574" s="45"/>
      <c r="G574" s="46">
        <f>SUM(G567+G571+G572+G573)</f>
        <v>8518787.5399999991</v>
      </c>
      <c r="H574" s="46">
        <f t="shared" ref="H574:I574" si="202">SUM(H567+H571+H572+H573)</f>
        <v>8239491.0486385124</v>
      </c>
      <c r="I574" s="46">
        <f t="shared" si="202"/>
        <v>279296.49136148521</v>
      </c>
      <c r="J574" s="20">
        <f t="shared" si="200"/>
        <v>0</v>
      </c>
      <c r="L574" s="21">
        <v>0</v>
      </c>
      <c r="M574" s="21">
        <v>0</v>
      </c>
      <c r="N574" s="21">
        <v>0</v>
      </c>
      <c r="O574" s="21">
        <v>0</v>
      </c>
      <c r="P574" s="21">
        <v>0</v>
      </c>
      <c r="Q574" s="21">
        <v>0</v>
      </c>
      <c r="R574" s="21">
        <v>0</v>
      </c>
      <c r="S574" s="21">
        <v>0</v>
      </c>
    </row>
    <row r="575" spans="1:19" x14ac:dyDescent="0.2">
      <c r="A575" s="13">
        <f t="shared" si="168"/>
        <v>575</v>
      </c>
      <c r="B575" s="38" t="str">
        <f>B378</f>
        <v>* * * TABLE 5 - OPERATION &amp; MAINTENANCE EXPENSES * * *</v>
      </c>
      <c r="C575" s="4"/>
      <c r="D575" s="43"/>
      <c r="E575" s="44"/>
      <c r="F575" s="45"/>
      <c r="L575" s="21">
        <v>0</v>
      </c>
      <c r="M575" s="21">
        <v>0</v>
      </c>
      <c r="N575" s="21">
        <v>0</v>
      </c>
      <c r="O575" s="21">
        <v>0</v>
      </c>
      <c r="P575" s="21">
        <v>0</v>
      </c>
      <c r="Q575" s="21">
        <v>0</v>
      </c>
      <c r="R575" s="21">
        <v>0</v>
      </c>
      <c r="S575" s="21">
        <v>0</v>
      </c>
    </row>
    <row r="576" spans="1:19" x14ac:dyDescent="0.2">
      <c r="A576" s="13">
        <f t="shared" si="168"/>
        <v>576</v>
      </c>
      <c r="B576" s="4" t="s">
        <v>350</v>
      </c>
      <c r="C576" s="4"/>
      <c r="D576" s="43"/>
      <c r="E576" s="44"/>
      <c r="F576" s="45"/>
      <c r="L576" s="21">
        <v>0</v>
      </c>
      <c r="M576" s="21">
        <v>0</v>
      </c>
      <c r="N576" s="21">
        <v>0</v>
      </c>
      <c r="O576" s="21">
        <v>0</v>
      </c>
      <c r="P576" s="21">
        <v>0</v>
      </c>
      <c r="Q576" s="21">
        <v>0</v>
      </c>
      <c r="R576" s="21">
        <v>0</v>
      </c>
      <c r="S576" s="21">
        <v>0</v>
      </c>
    </row>
    <row r="577" spans="1:19" x14ac:dyDescent="0.2">
      <c r="A577" s="13">
        <f t="shared" si="168"/>
        <v>577</v>
      </c>
      <c r="B577" s="4" t="s">
        <v>351</v>
      </c>
      <c r="C577" s="4"/>
      <c r="D577" s="43" t="s">
        <v>5</v>
      </c>
      <c r="E577" s="44" t="str">
        <f>(E$1010)</f>
        <v>E10</v>
      </c>
      <c r="F577" s="45"/>
      <c r="G577" s="21">
        <f>IF($E$1149=1,($L577),IF($E$1149=2,($M577),IF($E$1149=3,($N577),IF($E$1149=4,($O577),IF($E$1149=5,($P577),IF($E$1149=6,($Q577),IF($E$1149=7,($R577),IF($E$1149=8,($S577),0))))))))</f>
        <v>0</v>
      </c>
      <c r="H577" s="48">
        <f>IF($G$1010&lt;&gt;0,($G577)*(H$1010/$G$1010),0)</f>
        <v>0</v>
      </c>
      <c r="I577" s="48">
        <f>IF($G$1010&lt;&gt;0,($G577)*(I$1010/$G$1010),0)</f>
        <v>0</v>
      </c>
      <c r="J577" s="20">
        <f>IF($E$1149=1,($G577),IF($E$1149=2,($G577),IF($E$1149=3,0,IF($E$1149=4,($H577),IF($E$1149=5,($I577),0)))))</f>
        <v>0</v>
      </c>
      <c r="L577" s="21">
        <v>0</v>
      </c>
      <c r="M577" s="21">
        <v>0</v>
      </c>
      <c r="N577" s="21">
        <v>0</v>
      </c>
      <c r="O577" s="21">
        <v>0</v>
      </c>
      <c r="P577" s="21">
        <v>0</v>
      </c>
      <c r="Q577" s="21">
        <v>0</v>
      </c>
      <c r="R577" s="21">
        <v>0</v>
      </c>
      <c r="S577" s="21">
        <v>0</v>
      </c>
    </row>
    <row r="578" spans="1:19" x14ac:dyDescent="0.2">
      <c r="A578" s="13">
        <f t="shared" si="168"/>
        <v>578</v>
      </c>
      <c r="B578" s="4" t="s">
        <v>5</v>
      </c>
      <c r="C578" s="4" t="s">
        <v>361</v>
      </c>
      <c r="D578" s="43" t="s">
        <v>5</v>
      </c>
      <c r="E578" s="44" t="s">
        <v>5</v>
      </c>
      <c r="F578" s="45"/>
      <c r="G578" s="46">
        <f t="shared" ref="G578:I578" si="203">SUM(G576:G577)</f>
        <v>0</v>
      </c>
      <c r="H578" s="46">
        <f t="shared" si="203"/>
        <v>0</v>
      </c>
      <c r="I578" s="46">
        <f t="shared" si="203"/>
        <v>0</v>
      </c>
      <c r="J578" s="20">
        <f>IF($E$1149=1,($G578),IF($E$1149=2,($G578),IF($E$1149=3,0,IF($E$1149=4,($H578),IF($E$1149=5,($I578),0)))))</f>
        <v>0</v>
      </c>
      <c r="L578" s="21">
        <v>0</v>
      </c>
      <c r="M578" s="21">
        <v>0</v>
      </c>
      <c r="N578" s="21">
        <v>0</v>
      </c>
      <c r="O578" s="21">
        <v>0</v>
      </c>
      <c r="P578" s="21">
        <v>0</v>
      </c>
      <c r="Q578" s="21">
        <v>0</v>
      </c>
      <c r="R578" s="21">
        <v>0</v>
      </c>
      <c r="S578" s="21">
        <v>0</v>
      </c>
    </row>
    <row r="579" spans="1:19" x14ac:dyDescent="0.2">
      <c r="A579" s="13">
        <f t="shared" ref="A579:A642" si="204">A578+1</f>
        <v>579</v>
      </c>
      <c r="B579" s="4" t="s">
        <v>5</v>
      </c>
      <c r="C579" s="4" t="s">
        <v>5</v>
      </c>
      <c r="D579" s="43" t="s">
        <v>5</v>
      </c>
      <c r="E579" s="44" t="s">
        <v>5</v>
      </c>
      <c r="F579" s="45"/>
      <c r="L579" s="21">
        <v>0</v>
      </c>
      <c r="M579" s="21">
        <v>0</v>
      </c>
      <c r="N579" s="21">
        <v>0</v>
      </c>
      <c r="O579" s="21">
        <v>0</v>
      </c>
      <c r="P579" s="21">
        <v>0</v>
      </c>
      <c r="Q579" s="21">
        <v>0</v>
      </c>
      <c r="R579" s="21">
        <v>0</v>
      </c>
      <c r="S579" s="21">
        <v>0</v>
      </c>
    </row>
    <row r="580" spans="1:19" x14ac:dyDescent="0.2">
      <c r="A580" s="13">
        <f t="shared" si="204"/>
        <v>580</v>
      </c>
      <c r="B580" s="4" t="s">
        <v>353</v>
      </c>
      <c r="C580" s="4"/>
      <c r="D580" s="43"/>
      <c r="E580" s="44"/>
      <c r="F580" s="45"/>
      <c r="L580" s="21">
        <v>0</v>
      </c>
      <c r="M580" s="21">
        <v>0</v>
      </c>
      <c r="N580" s="21">
        <v>0</v>
      </c>
      <c r="O580" s="21">
        <v>0</v>
      </c>
      <c r="P580" s="21">
        <v>0</v>
      </c>
      <c r="Q580" s="21">
        <v>0</v>
      </c>
      <c r="R580" s="21">
        <v>0</v>
      </c>
      <c r="S580" s="21">
        <v>0</v>
      </c>
    </row>
    <row r="581" spans="1:19" x14ac:dyDescent="0.2">
      <c r="A581" s="13">
        <f t="shared" si="204"/>
        <v>581</v>
      </c>
      <c r="B581" s="4" t="s">
        <v>354</v>
      </c>
      <c r="C581" s="25"/>
      <c r="D581" s="43"/>
      <c r="E581" s="44" t="str">
        <f>(E$1062)</f>
        <v>LABOR</v>
      </c>
      <c r="F581" s="45"/>
      <c r="G581" s="21">
        <f>IF($E$1149=1,($L581),IF($E$1149=2,($M581),IF($E$1149=3,($N581),IF($E$1149=4,($O581),IF($E$1149=5,($P581),IF($E$1149=6,($Q581),IF($E$1149=7,($R581),IF($E$1149=8,($S581),0))))))))</f>
        <v>80022458.911843464</v>
      </c>
      <c r="H581" s="48">
        <f t="shared" ref="H581:I584" si="205">IF($G$1062&lt;&gt;0,($G581)*(H$1062/$G$1062),0)</f>
        <v>76521487.864651322</v>
      </c>
      <c r="I581" s="48">
        <f t="shared" si="205"/>
        <v>3500971.0471921386</v>
      </c>
      <c r="J581" s="20">
        <f>IF($E$1149=1,($G581),IF($E$1149=2,($G581),IF($E$1149=3,0,IF($E$1149=4,($H581),IF($E$1149=5,($I581),0)))))</f>
        <v>0</v>
      </c>
      <c r="L581" s="21">
        <v>87358103.159999996</v>
      </c>
      <c r="M581" s="21">
        <v>80022458.911843464</v>
      </c>
      <c r="N581" s="21">
        <v>80022458.911843464</v>
      </c>
      <c r="O581" s="21">
        <v>80022458.911843464</v>
      </c>
      <c r="P581" s="21">
        <v>87358103.159999996</v>
      </c>
      <c r="Q581" s="21">
        <v>79721694.159999996</v>
      </c>
      <c r="R581" s="21">
        <v>80022458.911843464</v>
      </c>
      <c r="S581" s="21">
        <v>80022458.911843464</v>
      </c>
    </row>
    <row r="582" spans="1:19" x14ac:dyDescent="0.2">
      <c r="A582" s="13">
        <f t="shared" si="204"/>
        <v>582</v>
      </c>
      <c r="B582" s="4" t="s">
        <v>355</v>
      </c>
      <c r="C582" s="25"/>
      <c r="D582" s="43"/>
      <c r="E582" s="44" t="str">
        <f>(E$1062)</f>
        <v>LABOR</v>
      </c>
      <c r="F582" s="45"/>
      <c r="G582" s="21">
        <f>IF($E$1149=1,($L582),IF($E$1149=2,($M582),IF($E$1149=3,($N582),IF($E$1149=4,($O582),IF($E$1149=5,($P582),IF($E$1149=6,($Q582),IF($E$1149=7,($R582),IF($E$1149=8,($S582),0))))))))</f>
        <v>14006893.925402245</v>
      </c>
      <c r="H582" s="48">
        <f t="shared" si="205"/>
        <v>13394094.334378092</v>
      </c>
      <c r="I582" s="48">
        <f t="shared" si="205"/>
        <v>612799.59102415224</v>
      </c>
      <c r="J582" s="20">
        <f>IF($E$1149=1,($G582),IF($E$1149=2,($G582),IF($E$1149=3,0,IF($E$1149=4,($H582),IF($E$1149=5,($I582),0)))))</f>
        <v>0</v>
      </c>
      <c r="L582" s="21">
        <v>14005146.109999999</v>
      </c>
      <c r="M582" s="21">
        <v>14006893.925402245</v>
      </c>
      <c r="N582" s="21">
        <v>14006893.925402245</v>
      </c>
      <c r="O582" s="21">
        <v>14006893.925402245</v>
      </c>
      <c r="P582" s="21">
        <v>14005146.109999999</v>
      </c>
      <c r="Q582" s="21">
        <v>14005146.109999999</v>
      </c>
      <c r="R582" s="21">
        <v>14006893.925402245</v>
      </c>
      <c r="S582" s="21">
        <v>14006893.925402245</v>
      </c>
    </row>
    <row r="583" spans="1:19" x14ac:dyDescent="0.2">
      <c r="A583" s="13">
        <f t="shared" si="204"/>
        <v>583</v>
      </c>
      <c r="B583" s="4" t="s">
        <v>356</v>
      </c>
      <c r="C583" s="25"/>
      <c r="D583" s="43" t="s">
        <v>5</v>
      </c>
      <c r="E583" s="44" t="str">
        <f>(E$1062)</f>
        <v>LABOR</v>
      </c>
      <c r="F583" s="45"/>
      <c r="G583" s="21">
        <f>IF($E$1149=1,($L583),IF($E$1149=2,($M583),IF($E$1149=3,($N583),IF($E$1149=4,($O583),IF($E$1149=5,($P583),IF($E$1149=6,($Q583),IF($E$1149=7,($R583),IF($E$1149=8,($S583),0))))))))</f>
        <v>-32764225.640000001</v>
      </c>
      <c r="H583" s="48">
        <f t="shared" si="205"/>
        <v>-31330795.489151016</v>
      </c>
      <c r="I583" s="48">
        <f t="shared" si="205"/>
        <v>-1433430.1508489829</v>
      </c>
      <c r="J583" s="20">
        <f>IF($E$1149=1,($G583),IF($E$1149=2,($G583),IF($E$1149=3,0,IF($E$1149=4,($H583),IF($E$1149=5,($I583),0)))))</f>
        <v>0</v>
      </c>
      <c r="L583" s="21">
        <v>-32764225.640000001</v>
      </c>
      <c r="M583" s="21">
        <v>-32764225.640000001</v>
      </c>
      <c r="N583" s="21">
        <v>-32764225.640000001</v>
      </c>
      <c r="O583" s="21">
        <v>-32764225.640000001</v>
      </c>
      <c r="P583" s="21">
        <v>-32764225.640000001</v>
      </c>
      <c r="Q583" s="21">
        <v>-32764225.640000001</v>
      </c>
      <c r="R583" s="21">
        <v>-32764225.640000001</v>
      </c>
      <c r="S583" s="21">
        <v>-32764225.640000001</v>
      </c>
    </row>
    <row r="584" spans="1:19" x14ac:dyDescent="0.2">
      <c r="A584" s="13">
        <f t="shared" si="204"/>
        <v>584</v>
      </c>
      <c r="B584" s="4" t="s">
        <v>357</v>
      </c>
      <c r="C584" s="25"/>
      <c r="D584" s="43" t="s">
        <v>5</v>
      </c>
      <c r="E584" s="44" t="str">
        <f>(E$1062)</f>
        <v>LABOR</v>
      </c>
      <c r="F584" s="45"/>
      <c r="G584" s="21">
        <f>IF($E$1149=1,($L584),IF($E$1149=2,($M584),IF($E$1149=3,($N584),IF($E$1149=4,($O584),IF($E$1149=5,($P584),IF($E$1149=6,($Q584),IF($E$1149=7,($R584),IF($E$1149=8,($S584),0))))))))</f>
        <v>7828424.25</v>
      </c>
      <c r="H584" s="48">
        <f t="shared" si="205"/>
        <v>7485931.8170371512</v>
      </c>
      <c r="I584" s="48">
        <f t="shared" si="205"/>
        <v>342492.43296284834</v>
      </c>
      <c r="J584" s="20">
        <f>IF($E$1149=1,($G584),IF($E$1149=2,($G584),IF($E$1149=3,0,IF($E$1149=4,($H584),IF($E$1149=5,($I584),0)))))</f>
        <v>0</v>
      </c>
      <c r="L584" s="21">
        <v>7828424.25</v>
      </c>
      <c r="M584" s="21">
        <v>7828424.25</v>
      </c>
      <c r="N584" s="21">
        <v>7828424.25</v>
      </c>
      <c r="O584" s="21">
        <v>7828424.25</v>
      </c>
      <c r="P584" s="21">
        <v>7828424.25</v>
      </c>
      <c r="Q584" s="21">
        <v>7828424.25</v>
      </c>
      <c r="R584" s="21">
        <v>7828424.25</v>
      </c>
      <c r="S584" s="21">
        <v>7828424.25</v>
      </c>
    </row>
    <row r="585" spans="1:19" x14ac:dyDescent="0.2">
      <c r="A585" s="13">
        <f t="shared" si="204"/>
        <v>585</v>
      </c>
      <c r="B585" s="4" t="s">
        <v>358</v>
      </c>
      <c r="C585" s="25"/>
      <c r="D585" s="43" t="s">
        <v>5</v>
      </c>
      <c r="E585" s="44" t="s">
        <v>5</v>
      </c>
      <c r="F585" s="45"/>
      <c r="L585" s="21">
        <v>0</v>
      </c>
      <c r="M585" s="21">
        <v>0</v>
      </c>
      <c r="N585" s="21">
        <v>0</v>
      </c>
      <c r="O585" s="21">
        <v>0</v>
      </c>
      <c r="P585" s="21">
        <v>0</v>
      </c>
      <c r="Q585" s="21">
        <v>0</v>
      </c>
      <c r="R585" s="21">
        <v>0</v>
      </c>
      <c r="S585" s="21">
        <v>0</v>
      </c>
    </row>
    <row r="586" spans="1:19" x14ac:dyDescent="0.2">
      <c r="A586" s="13">
        <f t="shared" si="204"/>
        <v>586</v>
      </c>
      <c r="B586" s="4" t="s">
        <v>359</v>
      </c>
      <c r="C586" s="25"/>
      <c r="D586" s="43"/>
      <c r="E586" s="44" t="s">
        <v>517</v>
      </c>
      <c r="F586" s="45"/>
      <c r="G586" s="21">
        <f t="shared" ref="G586" si="206">IF($E$1149=1,($L586),IF($E$1149=2,($M586),IF($E$1149=3,($N586),IF($E$1149=4,($O586),IF($E$1149=5,($P586),IF($E$1149=6,($Q586),IF($E$1149=7,($R586),IF($E$1149=8,($S586),0))))))))</f>
        <v>259597</v>
      </c>
      <c r="H586" s="48">
        <f>IF($G$1004&lt;&gt;0,($G586)*(H$1004/$G$1004),0)</f>
        <v>249251.01690894563</v>
      </c>
      <c r="I586" s="48">
        <f>IF($G$1004&lt;&gt;0,($G586)*(I$1004/$G$1004),0)</f>
        <v>10345.983091054406</v>
      </c>
      <c r="J586" s="20">
        <f>IF($E$1149=1,($G586),IF($E$1149=2,($G586),IF($E$1149=3,0,IF($E$1149=4,($H586),IF($E$1149=5,($I586),0)))))</f>
        <v>0</v>
      </c>
      <c r="L586" s="21">
        <v>382551</v>
      </c>
      <c r="M586" s="21">
        <v>382551</v>
      </c>
      <c r="N586" s="21">
        <v>382551</v>
      </c>
      <c r="O586" s="21">
        <v>382551</v>
      </c>
      <c r="P586" s="21">
        <v>382551</v>
      </c>
      <c r="Q586" s="21">
        <v>382551</v>
      </c>
      <c r="R586" s="21">
        <v>259597</v>
      </c>
      <c r="S586" s="21">
        <v>382551</v>
      </c>
    </row>
    <row r="587" spans="1:19" x14ac:dyDescent="0.2">
      <c r="A587" s="13">
        <f t="shared" si="204"/>
        <v>587</v>
      </c>
      <c r="B587" s="4" t="s">
        <v>360</v>
      </c>
      <c r="C587" s="25"/>
      <c r="D587" s="43" t="s">
        <v>5</v>
      </c>
      <c r="E587" s="44" t="str">
        <f>(E$1057)</f>
        <v>P110P</v>
      </c>
      <c r="F587" s="45"/>
      <c r="G587" s="21">
        <f>IF($E$1149=1,($L587),IF($E$1149=2,($M587),IF($E$1149=3,($N587),IF($E$1149=4,($O587),IF($E$1149=5,($P587),IF($E$1149=6,($Q587),IF($E$1149=7,($R587),IF($E$1149=8,($S587),0))))))))</f>
        <v>3190577.93</v>
      </c>
      <c r="H587" s="48">
        <f>IF($G$1057&lt;&gt;0,($G587)*(H$1057/$G$1057),0)</f>
        <v>3060981.2830271665</v>
      </c>
      <c r="I587" s="48">
        <f>IF($G$1057&lt;&gt;0,($G587)*(I$1057/$G$1057),0)</f>
        <v>129596.64697283342</v>
      </c>
      <c r="J587" s="20">
        <f>IF($E$1149=1,($G587),IF($E$1149=2,($G587),IF($E$1149=3,0,IF($E$1149=4,($H587),IF($E$1149=5,($I587),0)))))</f>
        <v>0</v>
      </c>
      <c r="L587" s="21">
        <v>3188509.93</v>
      </c>
      <c r="M587" s="21">
        <v>3190577.93</v>
      </c>
      <c r="N587" s="21">
        <v>3190577.93</v>
      </c>
      <c r="O587" s="21">
        <v>3190577.93</v>
      </c>
      <c r="P587" s="21">
        <v>3188509.93</v>
      </c>
      <c r="Q587" s="21">
        <v>3188509.93</v>
      </c>
      <c r="R587" s="21">
        <v>3190577.93</v>
      </c>
      <c r="S587" s="21">
        <v>3190577.93</v>
      </c>
    </row>
    <row r="588" spans="1:19" x14ac:dyDescent="0.2">
      <c r="A588" s="13">
        <f t="shared" si="204"/>
        <v>588</v>
      </c>
      <c r="B588" s="4" t="s">
        <v>5</v>
      </c>
      <c r="C588" s="4" t="s">
        <v>361</v>
      </c>
      <c r="D588" s="43" t="s">
        <v>5</v>
      </c>
      <c r="E588" s="44" t="s">
        <v>5</v>
      </c>
      <c r="F588" s="45"/>
      <c r="G588" s="46">
        <f>SUM(G586:G587)</f>
        <v>3450174.93</v>
      </c>
      <c r="H588" s="46">
        <f t="shared" ref="H588:I588" si="207">SUM(H586:H587)</f>
        <v>3310232.299936112</v>
      </c>
      <c r="I588" s="46">
        <f t="shared" si="207"/>
        <v>139942.63006388783</v>
      </c>
      <c r="J588" s="20">
        <f>IF($E$1149=1,($G588),IF($E$1149=2,($G588),IF($E$1149=3,0,IF($E$1149=4,($H588),IF($E$1149=5,($I588),0)))))</f>
        <v>0</v>
      </c>
      <c r="L588" s="21">
        <v>0</v>
      </c>
      <c r="M588" s="21">
        <v>0</v>
      </c>
      <c r="N588" s="21">
        <v>0</v>
      </c>
      <c r="O588" s="21">
        <v>0</v>
      </c>
      <c r="P588" s="21">
        <v>0</v>
      </c>
      <c r="Q588" s="21">
        <v>0</v>
      </c>
      <c r="R588" s="21">
        <v>0</v>
      </c>
      <c r="S588" s="21">
        <v>0</v>
      </c>
    </row>
    <row r="589" spans="1:19" x14ac:dyDescent="0.2">
      <c r="A589" s="13">
        <f t="shared" si="204"/>
        <v>589</v>
      </c>
      <c r="B589" s="4" t="s">
        <v>5</v>
      </c>
      <c r="C589" s="4" t="s">
        <v>5</v>
      </c>
      <c r="D589" s="43" t="s">
        <v>5</v>
      </c>
      <c r="E589" s="44" t="s">
        <v>5</v>
      </c>
      <c r="F589" s="45"/>
      <c r="L589" s="21">
        <v>0</v>
      </c>
      <c r="M589" s="21">
        <v>0</v>
      </c>
      <c r="N589" s="21">
        <v>0</v>
      </c>
      <c r="O589" s="21">
        <v>0</v>
      </c>
      <c r="P589" s="21">
        <v>0</v>
      </c>
      <c r="Q589" s="21">
        <v>0</v>
      </c>
      <c r="R589" s="21">
        <v>0</v>
      </c>
      <c r="S589" s="21">
        <v>0</v>
      </c>
    </row>
    <row r="590" spans="1:19" x14ac:dyDescent="0.2">
      <c r="A590" s="13">
        <f t="shared" si="204"/>
        <v>590</v>
      </c>
      <c r="B590" s="4" t="s">
        <v>362</v>
      </c>
      <c r="C590" s="25"/>
      <c r="D590" s="43"/>
      <c r="E590" s="44" t="str">
        <f>(E$1062)</f>
        <v>LABOR</v>
      </c>
      <c r="F590" s="45"/>
      <c r="G590" s="21">
        <f t="shared" ref="G590:G595" si="208">IF($E$1149=1,($L590),IF($E$1149=2,($M590),IF($E$1149=3,($N590),IF($E$1149=4,($O590),IF($E$1149=5,($P590),IF($E$1149=6,($Q590),IF($E$1149=7,($R590),IF($E$1149=8,($S590),0))))))))</f>
        <v>6485297.5804063929</v>
      </c>
      <c r="H590" s="48">
        <f>IF($G$1062&lt;&gt;0,($G590)*(H$1062/$G$1062),0)</f>
        <v>6201566.7457110882</v>
      </c>
      <c r="I590" s="48">
        <f>IF($G$1062&lt;&gt;0,($G590)*(I$1062/$G$1062),0)</f>
        <v>283730.83469530399</v>
      </c>
      <c r="J590" s="20">
        <f t="shared" ref="J590:J595" si="209">IF($E$1149=1,($G590),IF($E$1149=2,($G590),IF($E$1149=3,0,IF($E$1149=4,($H590),IF($E$1149=5,($I590),0)))))</f>
        <v>0</v>
      </c>
      <c r="L590" s="21">
        <v>6484661.0599999996</v>
      </c>
      <c r="M590" s="21">
        <v>6485297.5804063929</v>
      </c>
      <c r="N590" s="21">
        <v>6485297.5804063929</v>
      </c>
      <c r="O590" s="21">
        <v>6485297.5804063929</v>
      </c>
      <c r="P590" s="21">
        <v>6484661.0599999996</v>
      </c>
      <c r="Q590" s="21">
        <v>6484661.0599999996</v>
      </c>
      <c r="R590" s="21">
        <v>6485297.5804063929</v>
      </c>
      <c r="S590" s="21">
        <v>6485297.5804063929</v>
      </c>
    </row>
    <row r="591" spans="1:19" x14ac:dyDescent="0.2">
      <c r="A591" s="13">
        <f t="shared" si="204"/>
        <v>591</v>
      </c>
      <c r="B591" s="4" t="s">
        <v>363</v>
      </c>
      <c r="C591" s="25"/>
      <c r="D591" s="43"/>
      <c r="E591" s="44" t="str">
        <f>(E$1062)</f>
        <v>LABOR</v>
      </c>
      <c r="F591" s="45"/>
      <c r="G591" s="21">
        <f t="shared" si="208"/>
        <v>38056281.210000001</v>
      </c>
      <c r="H591" s="48">
        <f>IF($G$1062&lt;&gt;0,($G591)*(H$1062/$G$1062),0)</f>
        <v>36391324.390480258</v>
      </c>
      <c r="I591" s="48">
        <f>IF($G$1062&lt;&gt;0,($G591)*(I$1062/$G$1062),0)</f>
        <v>1664956.8195197431</v>
      </c>
      <c r="J591" s="20">
        <f t="shared" si="209"/>
        <v>0</v>
      </c>
      <c r="L591" s="21">
        <v>38025622.210000001</v>
      </c>
      <c r="M591" s="21">
        <v>38056281.210000001</v>
      </c>
      <c r="N591" s="21">
        <v>38056281.210000001</v>
      </c>
      <c r="O591" s="21">
        <v>38056281.210000001</v>
      </c>
      <c r="P591" s="21">
        <v>38025622.210000001</v>
      </c>
      <c r="Q591" s="21">
        <v>38025622.210000001</v>
      </c>
      <c r="R591" s="21">
        <v>38056281.210000001</v>
      </c>
      <c r="S591" s="21">
        <v>38056281.210000001</v>
      </c>
    </row>
    <row r="592" spans="1:19" x14ac:dyDescent="0.2">
      <c r="A592" s="13">
        <f t="shared" si="204"/>
        <v>592</v>
      </c>
      <c r="B592" s="10" t="s">
        <v>364</v>
      </c>
      <c r="C592" s="11"/>
      <c r="D592" s="43"/>
      <c r="E592" s="44" t="str">
        <f>(E$1050)</f>
        <v>CODA</v>
      </c>
      <c r="F592" s="45"/>
      <c r="G592" s="21">
        <f t="shared" si="208"/>
        <v>1415805.12</v>
      </c>
      <c r="H592" s="48">
        <f>IF($G$1050&lt;&gt;0,($G592)*(H$1050/$G$1050),0)</f>
        <v>0</v>
      </c>
      <c r="I592" s="48">
        <f>IF($G$1050&lt;&gt;0,($G592)*(I$1050/$G$1050),0)</f>
        <v>1415805.12</v>
      </c>
      <c r="J592" s="20">
        <f t="shared" si="209"/>
        <v>0</v>
      </c>
      <c r="L592" s="21">
        <v>1415805.12</v>
      </c>
      <c r="M592" s="21">
        <v>1415805.12</v>
      </c>
      <c r="N592" s="21">
        <v>1415805.12</v>
      </c>
      <c r="O592" s="21">
        <v>1415805.12</v>
      </c>
      <c r="P592" s="21">
        <v>1415805.12</v>
      </c>
      <c r="Q592" s="21">
        <v>1415805.12</v>
      </c>
      <c r="R592" s="21">
        <v>1415805.12</v>
      </c>
      <c r="S592" s="21">
        <v>1415805.12</v>
      </c>
    </row>
    <row r="593" spans="1:19" x14ac:dyDescent="0.2">
      <c r="A593" s="13">
        <f t="shared" si="204"/>
        <v>593</v>
      </c>
      <c r="B593" s="10" t="s">
        <v>365</v>
      </c>
      <c r="C593" s="11"/>
      <c r="D593" s="43"/>
      <c r="E593" s="44" t="str">
        <f>(E$1049)</f>
        <v>CIDA</v>
      </c>
      <c r="F593" s="45"/>
      <c r="G593" s="21">
        <f t="shared" si="208"/>
        <v>17153712.960000001</v>
      </c>
      <c r="H593" s="48">
        <f>IF($G$1049&lt;&gt;0,($G593)*(H$1049/$G$1049),0)</f>
        <v>17153712.960000001</v>
      </c>
      <c r="I593" s="48">
        <f>IF($G$1049&lt;&gt;0,($G593)*(I$1049/$G$1049),0)</f>
        <v>0</v>
      </c>
      <c r="J593" s="20">
        <f t="shared" si="209"/>
        <v>0</v>
      </c>
      <c r="L593" s="21">
        <v>17153712.960000001</v>
      </c>
      <c r="M593" s="21">
        <v>17153712.960000001</v>
      </c>
      <c r="N593" s="21">
        <v>17153712.960000001</v>
      </c>
      <c r="O593" s="21">
        <v>17153712.960000001</v>
      </c>
      <c r="P593" s="21">
        <v>17153712.960000001</v>
      </c>
      <c r="Q593" s="21">
        <v>17153712.960000001</v>
      </c>
      <c r="R593" s="21">
        <v>17153712.960000001</v>
      </c>
      <c r="S593" s="21">
        <v>17153712.960000001</v>
      </c>
    </row>
    <row r="594" spans="1:19" x14ac:dyDescent="0.2">
      <c r="A594" s="13">
        <f t="shared" si="204"/>
        <v>594</v>
      </c>
      <c r="B594" s="10" t="s">
        <v>366</v>
      </c>
      <c r="C594" s="11"/>
      <c r="D594" s="43"/>
      <c r="E594" s="44" t="str">
        <f>(E$1005)</f>
        <v>D11</v>
      </c>
      <c r="F594" s="45"/>
      <c r="G594" s="21">
        <f t="shared" si="208"/>
        <v>0</v>
      </c>
      <c r="H594" s="48">
        <f>IF($G$1005&lt;&gt;0,($G594)*(H$1005/$G$1005),0)</f>
        <v>0</v>
      </c>
      <c r="I594" s="48">
        <f>IF($G$1005&lt;&gt;0,($G594)*(I$1005/$G$1005),0)</f>
        <v>0</v>
      </c>
      <c r="J594" s="20">
        <f t="shared" si="209"/>
        <v>0</v>
      </c>
      <c r="L594" s="21">
        <v>0</v>
      </c>
      <c r="M594" s="21">
        <v>0</v>
      </c>
      <c r="N594" s="21">
        <v>0</v>
      </c>
      <c r="O594" s="21">
        <v>0</v>
      </c>
      <c r="P594" s="21">
        <v>0</v>
      </c>
      <c r="Q594" s="21">
        <v>0</v>
      </c>
      <c r="R594" s="21">
        <v>0</v>
      </c>
      <c r="S594" s="21">
        <v>0</v>
      </c>
    </row>
    <row r="595" spans="1:19" x14ac:dyDescent="0.2">
      <c r="A595" s="13">
        <f t="shared" si="204"/>
        <v>595</v>
      </c>
      <c r="B595" s="4" t="s">
        <v>367</v>
      </c>
      <c r="C595" s="25"/>
      <c r="D595" s="43" t="s">
        <v>5</v>
      </c>
      <c r="E595" s="44" t="str">
        <f>(E$1049)</f>
        <v>CIDA</v>
      </c>
      <c r="F595" s="45"/>
      <c r="G595" s="21">
        <f t="shared" si="208"/>
        <v>0</v>
      </c>
      <c r="H595" s="48">
        <f>IF($G$1049&lt;&gt;0,($G595)*(H$1049/$G$1049),0)</f>
        <v>0</v>
      </c>
      <c r="I595" s="48">
        <f>IF($G$1049&lt;&gt;0,($G595)*(I$1049/$G$1049),0)</f>
        <v>0</v>
      </c>
      <c r="J595" s="20">
        <f t="shared" si="209"/>
        <v>0</v>
      </c>
      <c r="L595" s="21">
        <v>0</v>
      </c>
      <c r="M595" s="21">
        <v>0</v>
      </c>
      <c r="N595" s="21">
        <v>0</v>
      </c>
      <c r="O595" s="21">
        <v>0</v>
      </c>
      <c r="P595" s="21">
        <v>0</v>
      </c>
      <c r="Q595" s="21">
        <v>0</v>
      </c>
      <c r="R595" s="21">
        <v>0</v>
      </c>
      <c r="S595" s="21">
        <v>0</v>
      </c>
    </row>
    <row r="596" spans="1:19" x14ac:dyDescent="0.2">
      <c r="A596" s="13">
        <f t="shared" si="204"/>
        <v>596</v>
      </c>
      <c r="B596" s="4" t="s">
        <v>368</v>
      </c>
      <c r="C596" s="25"/>
      <c r="D596" s="43" t="s">
        <v>5</v>
      </c>
      <c r="E596" s="44" t="s">
        <v>5</v>
      </c>
      <c r="F596" s="45"/>
      <c r="L596" s="21">
        <v>0</v>
      </c>
      <c r="M596" s="21">
        <v>0</v>
      </c>
      <c r="N596" s="21">
        <v>0</v>
      </c>
      <c r="O596" s="21">
        <v>0</v>
      </c>
      <c r="P596" s="21">
        <v>0</v>
      </c>
      <c r="Q596" s="21">
        <v>0</v>
      </c>
      <c r="R596" s="21">
        <v>0</v>
      </c>
      <c r="S596" s="21">
        <v>0</v>
      </c>
    </row>
    <row r="597" spans="1:19" x14ac:dyDescent="0.2">
      <c r="A597" s="13">
        <f t="shared" si="204"/>
        <v>597</v>
      </c>
      <c r="B597" s="4" t="s">
        <v>5</v>
      </c>
      <c r="C597" s="4" t="s">
        <v>369</v>
      </c>
      <c r="D597" s="43" t="s">
        <v>5</v>
      </c>
      <c r="E597" s="44" t="s">
        <v>5</v>
      </c>
      <c r="F597" s="45"/>
      <c r="L597" s="21">
        <v>0</v>
      </c>
      <c r="M597" s="21">
        <v>0</v>
      </c>
      <c r="N597" s="21">
        <v>0</v>
      </c>
      <c r="O597" s="21">
        <v>0</v>
      </c>
      <c r="P597" s="21">
        <v>0</v>
      </c>
      <c r="Q597" s="21">
        <v>0</v>
      </c>
      <c r="R597" s="21">
        <v>0</v>
      </c>
      <c r="S597" s="21">
        <v>0</v>
      </c>
    </row>
    <row r="598" spans="1:19" x14ac:dyDescent="0.2">
      <c r="A598" s="13">
        <f t="shared" si="204"/>
        <v>598</v>
      </c>
      <c r="B598" s="4" t="s">
        <v>5</v>
      </c>
      <c r="C598" s="4" t="s">
        <v>370</v>
      </c>
      <c r="D598" s="43" t="s">
        <v>5</v>
      </c>
      <c r="E598" s="44" t="str">
        <f>(E$1004)</f>
        <v>D10</v>
      </c>
      <c r="F598" s="45"/>
      <c r="G598" s="21">
        <f t="shared" ref="G598:G608" si="210">IF($E$1149=1,($L598),IF($E$1149=2,($M598),IF($E$1149=3,($N598),IF($E$1149=4,($O598),IF($E$1149=5,($P598),IF($E$1149=6,($Q598),IF($E$1149=7,($R598),IF($E$1149=8,($S598),0))))))))</f>
        <v>2608106</v>
      </c>
      <c r="H598" s="48">
        <f>IF($G$1004&lt;&gt;0,($G598)*(H$1004/$G$1004),0)</f>
        <v>2504162.5007466287</v>
      </c>
      <c r="I598" s="48">
        <f>IF($G$1004&lt;&gt;0,($G598)*(I$1004/$G$1004),0)</f>
        <v>103943.49925337174</v>
      </c>
      <c r="J598" s="20">
        <f t="shared" ref="J598:J609" si="211">IF($E$1149=1,($G598),IF($E$1149=2,($G598),IF($E$1149=3,0,IF($E$1149=4,($H598),IF($E$1149=5,($I598),0)))))</f>
        <v>0</v>
      </c>
      <c r="L598" s="21">
        <v>2608106</v>
      </c>
      <c r="M598" s="21">
        <v>2608106</v>
      </c>
      <c r="N598" s="21">
        <v>2608106</v>
      </c>
      <c r="O598" s="21">
        <v>2608106</v>
      </c>
      <c r="P598" s="21">
        <v>2608106</v>
      </c>
      <c r="Q598" s="21">
        <v>2608106</v>
      </c>
      <c r="R598" s="21">
        <v>2608106</v>
      </c>
      <c r="S598" s="21">
        <v>2608106</v>
      </c>
    </row>
    <row r="599" spans="1:19" x14ac:dyDescent="0.2">
      <c r="A599" s="13">
        <f t="shared" si="204"/>
        <v>599</v>
      </c>
      <c r="B599" s="4" t="s">
        <v>5</v>
      </c>
      <c r="C599" s="4" t="s">
        <v>371</v>
      </c>
      <c r="D599" s="43" t="s">
        <v>5</v>
      </c>
      <c r="E599" s="44" t="str">
        <f>(E$1010)</f>
        <v>E10</v>
      </c>
      <c r="F599" s="45"/>
      <c r="G599" s="21">
        <f t="shared" si="210"/>
        <v>1181179</v>
      </c>
      <c r="H599" s="48">
        <f>IF($G$1010&lt;&gt;0,($G599)*(H$1010/$G$1010),0)</f>
        <v>1128991.3749571401</v>
      </c>
      <c r="I599" s="48">
        <f>IF($G$1010&lt;&gt;0,($G599)*(I$1010/$G$1010),0)</f>
        <v>52187.62504286004</v>
      </c>
      <c r="J599" s="20">
        <f t="shared" si="211"/>
        <v>0</v>
      </c>
      <c r="L599" s="21">
        <v>1181179</v>
      </c>
      <c r="M599" s="21">
        <v>1181179</v>
      </c>
      <c r="N599" s="21">
        <v>1181179</v>
      </c>
      <c r="O599" s="21">
        <v>1181179</v>
      </c>
      <c r="P599" s="21">
        <v>1181179</v>
      </c>
      <c r="Q599" s="21">
        <v>1181179</v>
      </c>
      <c r="R599" s="21">
        <v>1181179</v>
      </c>
      <c r="S599" s="21">
        <v>1181179</v>
      </c>
    </row>
    <row r="600" spans="1:19" x14ac:dyDescent="0.2">
      <c r="A600" s="13">
        <f t="shared" si="204"/>
        <v>600</v>
      </c>
      <c r="B600" s="4" t="s">
        <v>5</v>
      </c>
      <c r="C600" s="4" t="s">
        <v>372</v>
      </c>
      <c r="D600" s="43" t="s">
        <v>5</v>
      </c>
      <c r="E600" s="44" t="str">
        <f>(E$1005)</f>
        <v>D11</v>
      </c>
      <c r="F600" s="45"/>
      <c r="G600" s="21">
        <f t="shared" si="210"/>
        <v>0</v>
      </c>
      <c r="H600" s="48">
        <f>IF($G$1005&lt;&gt;0,($G600)*(H$1005/$G$1005),0)</f>
        <v>0</v>
      </c>
      <c r="I600" s="48">
        <f>IF($G$1005&lt;&gt;0,($G600)*(I$1005/$G$1005),0)</f>
        <v>0</v>
      </c>
      <c r="J600" s="20">
        <f t="shared" si="211"/>
        <v>0</v>
      </c>
      <c r="L600" s="21">
        <v>0</v>
      </c>
      <c r="M600" s="21">
        <v>0</v>
      </c>
      <c r="N600" s="21">
        <v>0</v>
      </c>
      <c r="O600" s="21">
        <v>0</v>
      </c>
      <c r="P600" s="21">
        <v>0</v>
      </c>
      <c r="Q600" s="21">
        <v>0</v>
      </c>
      <c r="R600" s="21">
        <v>0</v>
      </c>
      <c r="S600" s="21">
        <v>0</v>
      </c>
    </row>
    <row r="601" spans="1:19" x14ac:dyDescent="0.2">
      <c r="A601" s="13">
        <f t="shared" si="204"/>
        <v>601</v>
      </c>
      <c r="B601" s="4" t="s">
        <v>5</v>
      </c>
      <c r="C601" s="4" t="s">
        <v>373</v>
      </c>
      <c r="D601" s="43" t="s">
        <v>5</v>
      </c>
      <c r="E601" s="44" t="str">
        <f>(E$1012)</f>
        <v>E99</v>
      </c>
      <c r="F601" s="45"/>
      <c r="G601" s="21">
        <f t="shared" si="210"/>
        <v>941453</v>
      </c>
      <c r="H601" s="48">
        <f>IF($G$1012&lt;&gt;0,($G601)*(H$1012/$G$1012),0)</f>
        <v>899541.76137407531</v>
      </c>
      <c r="I601" s="48">
        <f>IF($G$1012&lt;&gt;0,($G601)*(I$1012/$G$1012),0)</f>
        <v>41911.238625924707</v>
      </c>
      <c r="J601" s="20">
        <f t="shared" si="211"/>
        <v>0</v>
      </c>
      <c r="L601" s="21">
        <v>941453</v>
      </c>
      <c r="M601" s="21">
        <v>941453</v>
      </c>
      <c r="N601" s="21">
        <v>941453</v>
      </c>
      <c r="O601" s="21">
        <v>941453</v>
      </c>
      <c r="P601" s="21">
        <v>941453</v>
      </c>
      <c r="Q601" s="21">
        <v>941453</v>
      </c>
      <c r="R601" s="21">
        <v>941453</v>
      </c>
      <c r="S601" s="21">
        <v>941453</v>
      </c>
    </row>
    <row r="602" spans="1:19" x14ac:dyDescent="0.2">
      <c r="A602" s="13">
        <f t="shared" si="204"/>
        <v>602</v>
      </c>
      <c r="B602" s="4" t="s">
        <v>5</v>
      </c>
      <c r="C602" s="4" t="s">
        <v>374</v>
      </c>
      <c r="D602" s="43"/>
      <c r="E602" s="44" t="str">
        <f>(E$1005)</f>
        <v>D11</v>
      </c>
      <c r="F602" s="45"/>
      <c r="G602" s="21">
        <f t="shared" si="210"/>
        <v>153408</v>
      </c>
      <c r="H602" s="48">
        <f>IF($G$1005&lt;&gt;0,($G602)*(H$1005/$G$1005),0)</f>
        <v>147294.07505467138</v>
      </c>
      <c r="I602" s="48">
        <f>IF($G$1005&lt;&gt;0,($G602)*(I$1005/$G$1005),0)</f>
        <v>6113.924945328622</v>
      </c>
      <c r="J602" s="20">
        <f t="shared" si="211"/>
        <v>0</v>
      </c>
      <c r="L602" s="21">
        <v>153408</v>
      </c>
      <c r="M602" s="21">
        <v>153408</v>
      </c>
      <c r="N602" s="21">
        <v>153408</v>
      </c>
      <c r="O602" s="21">
        <v>153408</v>
      </c>
      <c r="P602" s="21">
        <v>153408</v>
      </c>
      <c r="Q602" s="21">
        <v>153408</v>
      </c>
      <c r="R602" s="21">
        <v>153408</v>
      </c>
      <c r="S602" s="21">
        <v>153408</v>
      </c>
    </row>
    <row r="603" spans="1:19" x14ac:dyDescent="0.2">
      <c r="A603" s="13">
        <f t="shared" si="204"/>
        <v>603</v>
      </c>
      <c r="B603" s="4" t="s">
        <v>5</v>
      </c>
      <c r="C603" s="4" t="s">
        <v>375</v>
      </c>
      <c r="D603" s="43" t="s">
        <v>5</v>
      </c>
      <c r="E603" s="44" t="str">
        <f>(E$1005)</f>
        <v>D11</v>
      </c>
      <c r="F603" s="45"/>
      <c r="G603" s="21">
        <f t="shared" si="210"/>
        <v>158501</v>
      </c>
      <c r="H603" s="48">
        <f>IF($G$1005&lt;&gt;0,($G603)*(H$1005/$G$1005),0)</f>
        <v>152184.09854923128</v>
      </c>
      <c r="I603" s="48">
        <f>IF($G$1005&lt;&gt;0,($G603)*(I$1005/$G$1005),0)</f>
        <v>6316.9014507687471</v>
      </c>
      <c r="J603" s="20">
        <f t="shared" si="211"/>
        <v>0</v>
      </c>
      <c r="L603" s="21">
        <v>158501</v>
      </c>
      <c r="M603" s="21">
        <v>158501</v>
      </c>
      <c r="N603" s="21">
        <v>158501</v>
      </c>
      <c r="O603" s="21">
        <v>158501</v>
      </c>
      <c r="P603" s="21">
        <v>158501</v>
      </c>
      <c r="Q603" s="21">
        <v>158501</v>
      </c>
      <c r="R603" s="21">
        <v>158501</v>
      </c>
      <c r="S603" s="21">
        <v>158501</v>
      </c>
    </row>
    <row r="604" spans="1:19" x14ac:dyDescent="0.2">
      <c r="A604" s="13">
        <f t="shared" si="204"/>
        <v>604</v>
      </c>
      <c r="B604" s="4" t="s">
        <v>5</v>
      </c>
      <c r="C604" s="4" t="s">
        <v>376</v>
      </c>
      <c r="D604" s="43" t="s">
        <v>508</v>
      </c>
      <c r="E604" s="44">
        <f>A178</f>
        <v>178</v>
      </c>
      <c r="F604" s="45"/>
      <c r="G604" s="21">
        <f t="shared" si="210"/>
        <v>0</v>
      </c>
      <c r="H604" s="48">
        <f t="shared" ref="H604:I604" si="212">IF($G$178&lt;&gt;0,($G604)*(H$178/$G$178),0)</f>
        <v>0</v>
      </c>
      <c r="I604" s="48">
        <f t="shared" si="212"/>
        <v>0</v>
      </c>
      <c r="J604" s="20">
        <f t="shared" si="211"/>
        <v>0</v>
      </c>
      <c r="L604" s="21">
        <v>0</v>
      </c>
      <c r="M604" s="21">
        <v>0</v>
      </c>
      <c r="N604" s="21">
        <v>0</v>
      </c>
      <c r="O604" s="21">
        <v>0</v>
      </c>
      <c r="P604" s="21">
        <v>0</v>
      </c>
      <c r="Q604" s="21">
        <v>0</v>
      </c>
      <c r="R604" s="21">
        <v>0</v>
      </c>
      <c r="S604" s="21">
        <v>0</v>
      </c>
    </row>
    <row r="605" spans="1:19" x14ac:dyDescent="0.2">
      <c r="A605" s="13">
        <f t="shared" si="204"/>
        <v>605</v>
      </c>
      <c r="B605" s="4" t="s">
        <v>5</v>
      </c>
      <c r="C605" s="4" t="s">
        <v>377</v>
      </c>
      <c r="D605" s="43" t="s">
        <v>5</v>
      </c>
      <c r="E605" s="44" t="str">
        <f>(E$1049)</f>
        <v>CIDA</v>
      </c>
      <c r="F605" s="45"/>
      <c r="G605" s="21">
        <f t="shared" si="210"/>
        <v>0</v>
      </c>
      <c r="H605" s="48">
        <f>IF($G$1049&lt;&gt;0,($G605)*(H$1049/$G$1049),0)</f>
        <v>0</v>
      </c>
      <c r="I605" s="48">
        <f>IF($G$1049&lt;&gt;0,($G605)*(I$1049/$G$1049),0)</f>
        <v>0</v>
      </c>
      <c r="J605" s="20">
        <f t="shared" si="211"/>
        <v>0</v>
      </c>
      <c r="L605" s="21">
        <v>0</v>
      </c>
      <c r="M605" s="21">
        <v>0</v>
      </c>
      <c r="N605" s="21">
        <v>0</v>
      </c>
      <c r="O605" s="21">
        <v>0</v>
      </c>
      <c r="P605" s="21">
        <v>0</v>
      </c>
      <c r="Q605" s="21">
        <v>0</v>
      </c>
      <c r="R605" s="21">
        <v>0</v>
      </c>
      <c r="S605" s="21">
        <v>0</v>
      </c>
    </row>
    <row r="606" spans="1:19" x14ac:dyDescent="0.2">
      <c r="A606" s="13">
        <f t="shared" si="204"/>
        <v>606</v>
      </c>
      <c r="B606" s="4" t="s">
        <v>5</v>
      </c>
      <c r="C606" s="4" t="s">
        <v>378</v>
      </c>
      <c r="D606" s="43" t="s">
        <v>5</v>
      </c>
      <c r="E606" s="44" t="str">
        <f>(E$1049)</f>
        <v>CIDA</v>
      </c>
      <c r="F606" s="45"/>
      <c r="G606" s="21">
        <f t="shared" si="210"/>
        <v>25544</v>
      </c>
      <c r="H606" s="48">
        <f>IF($G$1049&lt;&gt;0,($G606)*(H$1049/$G$1049),0)</f>
        <v>25544</v>
      </c>
      <c r="I606" s="48">
        <f>IF($G$1049&lt;&gt;0,($G606)*(I$1049/$G$1049),0)</f>
        <v>0</v>
      </c>
      <c r="J606" s="20">
        <f t="shared" si="211"/>
        <v>0</v>
      </c>
      <c r="L606" s="21">
        <v>25544</v>
      </c>
      <c r="M606" s="21">
        <v>25544</v>
      </c>
      <c r="N606" s="21">
        <v>25544</v>
      </c>
      <c r="O606" s="21">
        <v>25544</v>
      </c>
      <c r="P606" s="21">
        <v>25544</v>
      </c>
      <c r="Q606" s="21">
        <v>25544</v>
      </c>
      <c r="R606" s="21">
        <v>25544</v>
      </c>
      <c r="S606" s="21">
        <v>25544</v>
      </c>
    </row>
    <row r="607" spans="1:19" x14ac:dyDescent="0.2">
      <c r="A607" s="13">
        <f t="shared" si="204"/>
        <v>607</v>
      </c>
      <c r="B607" s="4" t="s">
        <v>5</v>
      </c>
      <c r="C607" s="4" t="s">
        <v>379</v>
      </c>
      <c r="D607" s="43" t="s">
        <v>5</v>
      </c>
      <c r="E607" s="44" t="str">
        <f>(E$1050)</f>
        <v>CODA</v>
      </c>
      <c r="F607" s="45"/>
      <c r="G607" s="21">
        <f t="shared" si="210"/>
        <v>0</v>
      </c>
      <c r="H607" s="48">
        <f>IF($G$1050&lt;&gt;0,($G607)*(H$1050/$G$1050),0)</f>
        <v>0</v>
      </c>
      <c r="I607" s="48">
        <f>IF($G$1050&lt;&gt;0,($G607)*(I$1050/$G$1050),0)</f>
        <v>0</v>
      </c>
      <c r="J607" s="20">
        <f t="shared" si="211"/>
        <v>0</v>
      </c>
      <c r="L607" s="21">
        <v>0</v>
      </c>
      <c r="M607" s="21">
        <v>0</v>
      </c>
      <c r="N607" s="21">
        <v>0</v>
      </c>
      <c r="O607" s="21">
        <v>0</v>
      </c>
      <c r="P607" s="21">
        <v>0</v>
      </c>
      <c r="Q607" s="21">
        <v>0</v>
      </c>
      <c r="R607" s="21">
        <v>0</v>
      </c>
      <c r="S607" s="21">
        <v>0</v>
      </c>
    </row>
    <row r="608" spans="1:19" x14ac:dyDescent="0.2">
      <c r="A608" s="13">
        <f t="shared" si="204"/>
        <v>608</v>
      </c>
      <c r="B608" s="4" t="s">
        <v>5</v>
      </c>
      <c r="C608" s="4" t="s">
        <v>378</v>
      </c>
      <c r="D608" s="43" t="s">
        <v>5</v>
      </c>
      <c r="E608" s="44" t="str">
        <f>(E$1050)</f>
        <v>CODA</v>
      </c>
      <c r="F608" s="45"/>
      <c r="G608" s="21">
        <f t="shared" si="210"/>
        <v>1607046</v>
      </c>
      <c r="H608" s="48">
        <f>IF($G$1050&lt;&gt;0,($G608)*(H$1050/$G$1050),0)</f>
        <v>0</v>
      </c>
      <c r="I608" s="48">
        <f>IF($G$1050&lt;&gt;0,($G608)*(I$1050/$G$1050),0)</f>
        <v>1607046</v>
      </c>
      <c r="J608" s="20">
        <f t="shared" si="211"/>
        <v>0</v>
      </c>
      <c r="L608" s="21">
        <v>1607046</v>
      </c>
      <c r="M608" s="21">
        <v>1607046</v>
      </c>
      <c r="N608" s="21">
        <v>1607046</v>
      </c>
      <c r="O608" s="21">
        <v>1607046</v>
      </c>
      <c r="P608" s="21">
        <v>1607046</v>
      </c>
      <c r="Q608" s="21">
        <v>1607046</v>
      </c>
      <c r="R608" s="21">
        <v>1607046</v>
      </c>
      <c r="S608" s="21">
        <v>1607046</v>
      </c>
    </row>
    <row r="609" spans="1:19" x14ac:dyDescent="0.2">
      <c r="A609" s="13">
        <f t="shared" si="204"/>
        <v>609</v>
      </c>
      <c r="B609" s="4" t="s">
        <v>5</v>
      </c>
      <c r="C609" s="4" t="s">
        <v>380</v>
      </c>
      <c r="D609" s="43" t="s">
        <v>5</v>
      </c>
      <c r="E609" s="44" t="s">
        <v>5</v>
      </c>
      <c r="F609" s="45"/>
      <c r="G609" s="46">
        <f>SUM(G598:G608)</f>
        <v>6675237</v>
      </c>
      <c r="H609" s="46">
        <f>SUM(H598:H608)</f>
        <v>4857717.8106817463</v>
      </c>
      <c r="I609" s="46">
        <f>SUM(I598:I608)</f>
        <v>1817519.1893182539</v>
      </c>
      <c r="J609" s="20">
        <f t="shared" si="211"/>
        <v>0</v>
      </c>
      <c r="L609" s="21">
        <v>0</v>
      </c>
      <c r="M609" s="21">
        <v>0</v>
      </c>
      <c r="N609" s="21">
        <v>0</v>
      </c>
      <c r="O609" s="21">
        <v>0</v>
      </c>
      <c r="P609" s="21">
        <v>0</v>
      </c>
      <c r="Q609" s="21">
        <v>0</v>
      </c>
      <c r="R609" s="21">
        <v>0</v>
      </c>
      <c r="S609" s="21">
        <v>0</v>
      </c>
    </row>
    <row r="610" spans="1:19" x14ac:dyDescent="0.2">
      <c r="A610" s="13">
        <f t="shared" si="204"/>
        <v>610</v>
      </c>
      <c r="B610" s="4" t="s">
        <v>39</v>
      </c>
      <c r="C610" s="4" t="s">
        <v>39</v>
      </c>
      <c r="D610" s="43" t="s">
        <v>5</v>
      </c>
      <c r="E610" s="44" t="s">
        <v>5</v>
      </c>
      <c r="F610" s="45"/>
      <c r="L610" s="21">
        <v>0</v>
      </c>
      <c r="M610" s="21">
        <v>0</v>
      </c>
      <c r="N610" s="21">
        <v>0</v>
      </c>
      <c r="O610" s="21">
        <v>0</v>
      </c>
      <c r="P610" s="21">
        <v>0</v>
      </c>
      <c r="Q610" s="21">
        <v>0</v>
      </c>
      <c r="R610" s="21">
        <v>0</v>
      </c>
      <c r="S610" s="21">
        <v>0</v>
      </c>
    </row>
    <row r="611" spans="1:19" x14ac:dyDescent="0.2">
      <c r="A611" s="13">
        <f t="shared" si="204"/>
        <v>611</v>
      </c>
      <c r="B611" s="4" t="s">
        <v>381</v>
      </c>
      <c r="C611" s="25"/>
      <c r="D611" s="43" t="s">
        <v>5</v>
      </c>
      <c r="E611" s="44" t="str">
        <f>(E$1062)</f>
        <v>LABOR</v>
      </c>
      <c r="F611" s="45"/>
      <c r="G611" s="21">
        <f>IF($E$1149=1,($L611),IF($E$1149=2,($M611),IF($E$1149=3,($N611),IF($E$1149=4,($O611),IF($E$1149=5,($P611),IF($E$1149=6,($Q611),IF($E$1149=7,($R611),IF($E$1149=8,($S611),0))))))))</f>
        <v>0</v>
      </c>
      <c r="H611" s="48">
        <f t="shared" ref="H611:I613" si="213">IF($G$1062&lt;&gt;0,($G611)*(H$1062/$G$1062),0)</f>
        <v>0</v>
      </c>
      <c r="I611" s="48">
        <f t="shared" si="213"/>
        <v>0</v>
      </c>
      <c r="J611" s="20">
        <f>IF($E$1149=1,($G611),IF($E$1149=2,($G611),IF($E$1149=3,0,IF($E$1149=4,($H611),IF($E$1149=5,($I611),0)))))</f>
        <v>0</v>
      </c>
      <c r="L611" s="21">
        <v>0</v>
      </c>
      <c r="M611" s="21">
        <v>0</v>
      </c>
      <c r="N611" s="21">
        <v>0</v>
      </c>
      <c r="O611" s="21">
        <v>0</v>
      </c>
      <c r="P611" s="21">
        <v>0</v>
      </c>
      <c r="Q611" s="21">
        <v>0</v>
      </c>
      <c r="R611" s="21">
        <v>0</v>
      </c>
      <c r="S611" s="21">
        <v>0</v>
      </c>
    </row>
    <row r="612" spans="1:19" x14ac:dyDescent="0.2">
      <c r="A612" s="13">
        <f t="shared" si="204"/>
        <v>612</v>
      </c>
      <c r="B612" s="4" t="s">
        <v>382</v>
      </c>
      <c r="C612" s="25"/>
      <c r="D612" s="43" t="s">
        <v>5</v>
      </c>
      <c r="E612" s="44" t="str">
        <f>(E$1062)</f>
        <v>LABOR</v>
      </c>
      <c r="F612" s="45"/>
      <c r="G612" s="21">
        <f>IF($E$1149=1,($L612),IF($E$1149=2,($M612),IF($E$1149=3,($N612),IF($E$1149=4,($O612),IF($E$1149=5,($P612),IF($E$1149=6,($Q612),IF($E$1149=7,($R612),IF($E$1149=8,($S612),0))))))))</f>
        <v>0</v>
      </c>
      <c r="H612" s="48">
        <f t="shared" si="213"/>
        <v>0</v>
      </c>
      <c r="I612" s="48">
        <f t="shared" si="213"/>
        <v>0</v>
      </c>
      <c r="J612" s="20">
        <f>IF($E$1149=1,($G612),IF($E$1149=2,($G612),IF($E$1149=3,0,IF($E$1149=4,($H612),IF($E$1149=5,($I612),0)))))</f>
        <v>0</v>
      </c>
      <c r="L612" s="21">
        <v>381687.67</v>
      </c>
      <c r="M612" s="21">
        <v>0</v>
      </c>
      <c r="N612" s="21">
        <v>0</v>
      </c>
      <c r="O612" s="21">
        <v>0</v>
      </c>
      <c r="P612" s="21">
        <v>381687.67</v>
      </c>
      <c r="Q612" s="21">
        <v>0</v>
      </c>
      <c r="R612" s="21">
        <v>0</v>
      </c>
      <c r="S612" s="21">
        <v>0</v>
      </c>
    </row>
    <row r="613" spans="1:19" x14ac:dyDescent="0.2">
      <c r="A613" s="13">
        <f t="shared" si="204"/>
        <v>613</v>
      </c>
      <c r="B613" s="4" t="s">
        <v>383</v>
      </c>
      <c r="C613" s="25"/>
      <c r="D613" s="43" t="s">
        <v>5</v>
      </c>
      <c r="E613" s="44" t="str">
        <f>(E$1062)</f>
        <v>LABOR</v>
      </c>
      <c r="F613" s="45"/>
      <c r="G613" s="21">
        <f>IF($E$1149=1,($L613),IF($E$1149=2,($M613),IF($E$1149=3,($N613),IF($E$1149=4,($O613),IF($E$1149=5,($P613),IF($E$1149=6,($Q613),IF($E$1149=7,($R613),IF($E$1149=8,($S613),0))))))))</f>
        <v>3837240.92</v>
      </c>
      <c r="H613" s="48">
        <f t="shared" si="213"/>
        <v>3669362.1826467705</v>
      </c>
      <c r="I613" s="48">
        <f t="shared" si="213"/>
        <v>167878.73735322896</v>
      </c>
      <c r="J613" s="20">
        <f>IF($E$1149=1,($G613),IF($E$1149=2,($G613),IF($E$1149=3,0,IF($E$1149=4,($H613),IF($E$1149=5,($I613),0)))))</f>
        <v>0</v>
      </c>
      <c r="L613" s="21">
        <v>4090495.92</v>
      </c>
      <c r="M613" s="21">
        <v>3837240.92</v>
      </c>
      <c r="N613" s="21">
        <v>3837240.92</v>
      </c>
      <c r="O613" s="21">
        <v>3837240.92</v>
      </c>
      <c r="P613" s="21">
        <v>4090495.92</v>
      </c>
      <c r="Q613" s="21">
        <v>3836199.92</v>
      </c>
      <c r="R613" s="21">
        <v>3837240.92</v>
      </c>
      <c r="S613" s="21">
        <v>3837240.92</v>
      </c>
    </row>
    <row r="614" spans="1:19" x14ac:dyDescent="0.2">
      <c r="A614" s="13">
        <f t="shared" si="204"/>
        <v>614</v>
      </c>
      <c r="B614" s="4" t="s">
        <v>384</v>
      </c>
      <c r="C614" s="25"/>
      <c r="D614" s="43" t="s">
        <v>508</v>
      </c>
      <c r="E614" s="44">
        <f>A176</f>
        <v>176</v>
      </c>
      <c r="F614" s="45"/>
      <c r="G614" s="21">
        <f>IF($E$1149=1,($L614),IF($E$1149=2,($M614),IF($E$1149=3,($N614),IF($E$1149=4,($O614),IF($E$1149=5,($P614),IF($E$1149=6,($Q614),IF($E$1149=7,($R614),IF($E$1149=8,($S614),0))))))))</f>
        <v>0</v>
      </c>
      <c r="H614" s="48">
        <f t="shared" ref="H614:I614" si="214">IF($G$176&lt;&gt;0,($G614)*(H$176/$G$176),0)</f>
        <v>0</v>
      </c>
      <c r="I614" s="48">
        <f t="shared" si="214"/>
        <v>0</v>
      </c>
      <c r="J614" s="20">
        <f>IF($E$1149=1,($G614),IF($E$1149=2,($G614),IF($E$1149=3,0,IF($E$1149=4,($H614),IF($E$1149=5,($I614),0)))))</f>
        <v>0</v>
      </c>
      <c r="L614" s="21">
        <v>0</v>
      </c>
      <c r="M614" s="21">
        <v>0</v>
      </c>
      <c r="N614" s="21">
        <v>0</v>
      </c>
      <c r="O614" s="21">
        <v>0</v>
      </c>
      <c r="P614" s="21">
        <v>0</v>
      </c>
      <c r="Q614" s="21">
        <v>0</v>
      </c>
      <c r="R614" s="21">
        <v>0</v>
      </c>
      <c r="S614" s="21">
        <v>0</v>
      </c>
    </row>
    <row r="615" spans="1:19" x14ac:dyDescent="0.2">
      <c r="A615" s="13">
        <f t="shared" si="204"/>
        <v>615</v>
      </c>
      <c r="B615" s="4" t="str">
        <f>" "</f>
        <v xml:space="preserve"> </v>
      </c>
      <c r="C615" s="4" t="s">
        <v>385</v>
      </c>
      <c r="D615" s="43"/>
      <c r="E615" s="44"/>
      <c r="F615" s="45"/>
      <c r="G615" s="46">
        <f>SUM(G581+G582+G583+G584+G588+G590+G591+G595+G609+G611+G612+G613+G614+G592+G593+G594)</f>
        <v>146167301.1676521</v>
      </c>
      <c r="H615" s="46">
        <f t="shared" ref="H615:I615" si="215">SUM(H581+H582+H583+H584+H588+H590+H591+H595+H609+H611+H612+H613+H614+H592+H593+H594)</f>
        <v>137654634.91637152</v>
      </c>
      <c r="I615" s="46">
        <f t="shared" si="215"/>
        <v>8512666.2512805723</v>
      </c>
      <c r="L615" s="21">
        <v>0</v>
      </c>
      <c r="M615" s="21">
        <v>0</v>
      </c>
      <c r="N615" s="21">
        <v>0</v>
      </c>
      <c r="O615" s="21">
        <v>0</v>
      </c>
      <c r="P615" s="21">
        <v>0</v>
      </c>
      <c r="Q615" s="21">
        <v>0</v>
      </c>
      <c r="R615" s="21">
        <v>0</v>
      </c>
      <c r="S615" s="21">
        <v>0</v>
      </c>
    </row>
    <row r="616" spans="1:19" x14ac:dyDescent="0.2">
      <c r="A616" s="13">
        <f t="shared" si="204"/>
        <v>616</v>
      </c>
      <c r="B616" s="4" t="str">
        <f>" "</f>
        <v xml:space="preserve"> </v>
      </c>
      <c r="C616" s="4" t="s">
        <v>39</v>
      </c>
      <c r="D616" s="43"/>
      <c r="E616" s="44"/>
      <c r="F616" s="45"/>
      <c r="L616" s="21">
        <v>0</v>
      </c>
      <c r="M616" s="21">
        <v>0</v>
      </c>
      <c r="N616" s="21">
        <v>0</v>
      </c>
      <c r="O616" s="21">
        <v>0</v>
      </c>
      <c r="P616" s="21">
        <v>0</v>
      </c>
      <c r="Q616" s="21">
        <v>0</v>
      </c>
      <c r="R616" s="21">
        <v>0</v>
      </c>
      <c r="S616" s="21">
        <v>0</v>
      </c>
    </row>
    <row r="617" spans="1:19" x14ac:dyDescent="0.2">
      <c r="A617" s="13">
        <f t="shared" si="204"/>
        <v>617</v>
      </c>
      <c r="B617" s="4" t="s">
        <v>386</v>
      </c>
      <c r="C617" s="25"/>
      <c r="D617" s="43" t="s">
        <v>508</v>
      </c>
      <c r="E617" s="44">
        <f>A176</f>
        <v>176</v>
      </c>
      <c r="F617" s="45"/>
      <c r="G617" s="21">
        <f>IF($E$1149=1,($L617),IF($E$1149=2,($M617),IF($E$1149=3,($N617),IF($E$1149=4,($O617),IF($E$1149=5,($P617),IF($E$1149=6,($Q617),IF($E$1149=7,($R617),IF($E$1149=8,($S617),0))))))))</f>
        <v>7822788</v>
      </c>
      <c r="H617" s="48">
        <f t="shared" ref="H617:I617" si="216">IF($G$176&lt;&gt;0,($G617)*(H$176/$G$176),0)</f>
        <v>7503782.740320228</v>
      </c>
      <c r="I617" s="48">
        <f t="shared" si="216"/>
        <v>319005.25967977406</v>
      </c>
      <c r="J617" s="20">
        <f>IF($E$1149=1,($G617),IF($E$1149=2,($G617),IF($E$1149=3,0,IF($E$1149=4,($H617),IF($E$1149=5,($I617),0)))))</f>
        <v>0</v>
      </c>
      <c r="L617" s="21">
        <v>7816747</v>
      </c>
      <c r="M617" s="21">
        <v>7822788</v>
      </c>
      <c r="N617" s="21">
        <v>7822788</v>
      </c>
      <c r="O617" s="21">
        <v>7822788</v>
      </c>
      <c r="P617" s="21">
        <v>7816747</v>
      </c>
      <c r="Q617" s="21">
        <v>7816747</v>
      </c>
      <c r="R617" s="21">
        <v>7822788</v>
      </c>
      <c r="S617" s="21">
        <v>7822788</v>
      </c>
    </row>
    <row r="618" spans="1:19" x14ac:dyDescent="0.2">
      <c r="A618" s="13">
        <f t="shared" si="204"/>
        <v>618</v>
      </c>
      <c r="B618" s="4" t="s">
        <v>5</v>
      </c>
      <c r="C618" s="4" t="s">
        <v>387</v>
      </c>
      <c r="D618" s="43" t="s">
        <v>5</v>
      </c>
      <c r="E618" s="44" t="s">
        <v>5</v>
      </c>
      <c r="F618" s="45"/>
      <c r="G618" s="46">
        <f>SUM(G615+G617)</f>
        <v>153990089.1676521</v>
      </c>
      <c r="H618" s="46">
        <f t="shared" ref="H618:I618" si="217">SUM(H615+H617)</f>
        <v>145158417.65669176</v>
      </c>
      <c r="I618" s="46">
        <f t="shared" si="217"/>
        <v>8831671.5109603461</v>
      </c>
      <c r="J618" s="20">
        <f>IF($E$1149=1,($G618),IF($E$1149=2,($G618),IF($E$1149=3,0,IF($E$1149=4,($H618),IF($E$1149=5,($I618),0)))))</f>
        <v>0</v>
      </c>
      <c r="L618" s="21">
        <v>0</v>
      </c>
      <c r="M618" s="21">
        <v>0</v>
      </c>
      <c r="N618" s="21">
        <v>0</v>
      </c>
      <c r="O618" s="21">
        <v>0</v>
      </c>
      <c r="P618" s="21">
        <v>0</v>
      </c>
      <c r="Q618" s="21">
        <v>0</v>
      </c>
      <c r="R618" s="21">
        <v>0</v>
      </c>
      <c r="S618" s="21">
        <v>0</v>
      </c>
    </row>
    <row r="619" spans="1:19" x14ac:dyDescent="0.2">
      <c r="A619" s="13">
        <f t="shared" si="204"/>
        <v>619</v>
      </c>
      <c r="B619" s="4"/>
      <c r="C619" s="4"/>
      <c r="D619" s="43"/>
      <c r="E619" s="44"/>
      <c r="F619" s="45"/>
      <c r="G619" s="46"/>
      <c r="H619" s="46"/>
      <c r="I619" s="46"/>
      <c r="L619" s="21">
        <v>0</v>
      </c>
      <c r="M619" s="21">
        <v>0</v>
      </c>
      <c r="N619" s="21">
        <v>0</v>
      </c>
      <c r="O619" s="21">
        <v>0</v>
      </c>
      <c r="P619" s="21">
        <v>0</v>
      </c>
      <c r="Q619" s="21">
        <v>0</v>
      </c>
      <c r="R619" s="21">
        <v>0</v>
      </c>
      <c r="S619" s="21">
        <v>0</v>
      </c>
    </row>
    <row r="620" spans="1:19" x14ac:dyDescent="0.2">
      <c r="A620" s="13">
        <f t="shared" si="204"/>
        <v>620</v>
      </c>
      <c r="B620" s="4" t="s">
        <v>388</v>
      </c>
      <c r="C620" s="4"/>
      <c r="D620" s="43" t="s">
        <v>5</v>
      </c>
      <c r="E620" s="44" t="s">
        <v>514</v>
      </c>
      <c r="F620" s="45"/>
      <c r="G620" s="21">
        <f>IF($E$1149=1,($L620),IF($E$1149=2,($M620),IF($E$1149=3,($N620),IF($E$1149=4,($O620),IF($E$1149=5,($P620),IF($E$1149=6,($Q620),IF($E$1149=7,($R620),IF($E$1149=8,($S620),0))))))))</f>
        <v>4522754.67</v>
      </c>
      <c r="H620" s="48">
        <f>IF($G$1007&lt;&gt;0,($G620)*(H$1007/$G$1007),0)</f>
        <v>4357015.9729733141</v>
      </c>
      <c r="I620" s="48">
        <f>IF($G$1007&lt;&gt;0,($G620)*(I$1007/$G$1007),0)</f>
        <v>165738.69702668584</v>
      </c>
      <c r="J620" s="20">
        <f>IF($E$1149=1,($G620),IF($E$1149=2,($G620),IF($E$1149=3,0,IF($E$1149=4,($H620),IF($E$1149=5,($I620),0)))))</f>
        <v>0</v>
      </c>
      <c r="L620" s="21">
        <v>0</v>
      </c>
      <c r="M620" s="21">
        <v>4522754.67</v>
      </c>
      <c r="N620" s="21">
        <v>4522754.67</v>
      </c>
      <c r="O620" s="21">
        <v>4522754.67</v>
      </c>
      <c r="P620" s="21">
        <v>0</v>
      </c>
      <c r="Q620" s="21">
        <v>4522754.67</v>
      </c>
      <c r="R620" s="21">
        <v>4522754.67</v>
      </c>
      <c r="S620" s="21">
        <v>4522754.67</v>
      </c>
    </row>
    <row r="621" spans="1:19" x14ac:dyDescent="0.2">
      <c r="A621" s="13">
        <f t="shared" si="204"/>
        <v>621</v>
      </c>
      <c r="B621" s="4" t="s">
        <v>5</v>
      </c>
      <c r="C621" s="4" t="s">
        <v>389</v>
      </c>
      <c r="D621" s="43" t="s">
        <v>5</v>
      </c>
      <c r="E621" s="44" t="s">
        <v>5</v>
      </c>
      <c r="F621" s="45"/>
      <c r="G621" s="46">
        <f>IF(ROUND(SUM(G501+G527+G557+G565+G574+G578+G618+G620),0)=ROUND(SUM(H621:I621),0),SUM(G501+G527+G557+G565+G574+G578+G618+G620),"      WRONG")</f>
        <v>783001496.6330862</v>
      </c>
      <c r="H621" s="46">
        <f>SUM(H501+H527+H557+H565+H574+H578+H618+H620)</f>
        <v>746817824.95303774</v>
      </c>
      <c r="I621" s="46">
        <f>SUM(I501+I527+I557+I565+I574+I578+I618+I620)</f>
        <v>36183671.680048637</v>
      </c>
      <c r="J621" s="20">
        <f>IF($E$1149=1,($G621),IF($E$1149=2,($G621),IF($E$1149=3,0,IF($E$1149=4,($H621),IF($E$1149=5,($I621),0)))))</f>
        <v>0</v>
      </c>
      <c r="L621" s="21">
        <v>0</v>
      </c>
      <c r="M621" s="21">
        <v>0</v>
      </c>
      <c r="N621" s="21">
        <v>0</v>
      </c>
      <c r="O621" s="21">
        <v>0</v>
      </c>
      <c r="P621" s="21">
        <v>0</v>
      </c>
      <c r="Q621" s="21">
        <v>0</v>
      </c>
      <c r="R621" s="21">
        <v>0</v>
      </c>
      <c r="S621" s="21">
        <v>0</v>
      </c>
    </row>
    <row r="622" spans="1:19" x14ac:dyDescent="0.2">
      <c r="A622" s="13">
        <f t="shared" si="204"/>
        <v>622</v>
      </c>
      <c r="B622" s="4" t="s">
        <v>5</v>
      </c>
      <c r="C622" s="4" t="s">
        <v>5</v>
      </c>
      <c r="D622" s="43" t="s">
        <v>5</v>
      </c>
      <c r="E622" s="44" t="s">
        <v>5</v>
      </c>
      <c r="F622" s="45"/>
      <c r="G622" s="42" t="str">
        <f>IF(ROUND(G621,0)=ROUND(SUM(H621:I621),0)," ","L 923 OPERATION &amp; MAINTENANCE EXPENSES ARE WRONG")</f>
        <v xml:space="preserve"> </v>
      </c>
      <c r="L622" s="21">
        <v>0</v>
      </c>
      <c r="M622" s="21">
        <v>0</v>
      </c>
      <c r="N622" s="21">
        <v>0</v>
      </c>
      <c r="O622" s="21">
        <v>0</v>
      </c>
      <c r="P622" s="21">
        <v>0</v>
      </c>
      <c r="Q622" s="21">
        <v>0</v>
      </c>
      <c r="R622" s="21">
        <v>0</v>
      </c>
      <c r="S622" s="21">
        <v>0</v>
      </c>
    </row>
    <row r="623" spans="1:19" x14ac:dyDescent="0.2">
      <c r="A623" s="13">
        <f t="shared" si="204"/>
        <v>623</v>
      </c>
      <c r="B623" s="38" t="str">
        <f>"* * * TABLE 6 - DEPRECIATION &amp; AMORTIZATION EXPENSE * * *"</f>
        <v>* * * TABLE 6 - DEPRECIATION &amp; AMORTIZATION EXPENSE * * *</v>
      </c>
      <c r="C623" s="4"/>
      <c r="D623" s="43"/>
      <c r="E623" s="44"/>
      <c r="F623" s="45"/>
      <c r="G623" s="12"/>
      <c r="L623" s="21">
        <v>0</v>
      </c>
      <c r="M623" s="21">
        <v>0</v>
      </c>
      <c r="N623" s="21">
        <v>0</v>
      </c>
      <c r="O623" s="21">
        <v>0</v>
      </c>
      <c r="P623" s="21">
        <v>0</v>
      </c>
      <c r="Q623" s="21">
        <v>0</v>
      </c>
      <c r="R623" s="21">
        <v>0</v>
      </c>
      <c r="S623" s="21">
        <v>0</v>
      </c>
    </row>
    <row r="624" spans="1:19" x14ac:dyDescent="0.2">
      <c r="A624" s="13">
        <f t="shared" si="204"/>
        <v>624</v>
      </c>
      <c r="B624" s="4" t="str">
        <f>" "</f>
        <v xml:space="preserve"> </v>
      </c>
      <c r="C624" s="4"/>
      <c r="D624" s="43" t="s">
        <v>5</v>
      </c>
      <c r="E624" s="44" t="s">
        <v>5</v>
      </c>
      <c r="F624" s="45"/>
      <c r="G624" s="12"/>
      <c r="L624" s="21">
        <v>0</v>
      </c>
      <c r="M624" s="21">
        <v>0</v>
      </c>
      <c r="N624" s="21">
        <v>0</v>
      </c>
      <c r="O624" s="21">
        <v>0</v>
      </c>
      <c r="P624" s="21">
        <v>0</v>
      </c>
      <c r="Q624" s="21">
        <v>0</v>
      </c>
      <c r="R624" s="21">
        <v>0</v>
      </c>
      <c r="S624" s="21">
        <v>0</v>
      </c>
    </row>
    <row r="625" spans="1:19" x14ac:dyDescent="0.2">
      <c r="A625" s="13">
        <f t="shared" si="204"/>
        <v>625</v>
      </c>
      <c r="B625" s="4" t="s">
        <v>390</v>
      </c>
      <c r="C625" s="4"/>
      <c r="D625" s="43" t="s">
        <v>5</v>
      </c>
      <c r="E625" s="44" t="s">
        <v>5</v>
      </c>
      <c r="F625" s="45"/>
      <c r="L625" s="21">
        <v>0</v>
      </c>
      <c r="M625" s="21">
        <v>0</v>
      </c>
      <c r="N625" s="21">
        <v>0</v>
      </c>
      <c r="O625" s="21">
        <v>0</v>
      </c>
      <c r="P625" s="21">
        <v>0</v>
      </c>
      <c r="Q625" s="21">
        <v>0</v>
      </c>
      <c r="R625" s="21">
        <v>0</v>
      </c>
      <c r="S625" s="21">
        <v>0</v>
      </c>
    </row>
    <row r="626" spans="1:19" x14ac:dyDescent="0.2">
      <c r="A626" s="13">
        <f t="shared" si="204"/>
        <v>626</v>
      </c>
      <c r="B626" s="4" t="s">
        <v>57</v>
      </c>
      <c r="C626" s="4"/>
      <c r="D626" s="43" t="s">
        <v>508</v>
      </c>
      <c r="E626" s="44">
        <f>A100</f>
        <v>100</v>
      </c>
      <c r="F626" s="45"/>
      <c r="G626" s="21">
        <f>IF($E$1149=1,($L626),IF($E$1149=2,($M626),IF($E$1149=3,($N626),IF($E$1149=4,($O626),IF($E$1149=5,($P626),IF($E$1149=6,($Q626),IF($E$1149=7,($R626),IF($E$1149=8,($S626),0))))))))</f>
        <v>25366047.960000001</v>
      </c>
      <c r="H626" s="48">
        <f t="shared" ref="H626:I629" si="218">IF($G100&lt;&gt;0,($G626)*(H100/$G100),0)</f>
        <v>24355109.0690227</v>
      </c>
      <c r="I626" s="48">
        <f t="shared" si="218"/>
        <v>1010938.8909773038</v>
      </c>
      <c r="J626" s="20">
        <f>IF($E$1149=1,($G626),IF($E$1149=2,($G626),IF($E$1149=3,0,IF($E$1149=4,($H626),IF($E$1149=5,($I626),0)))))</f>
        <v>0</v>
      </c>
      <c r="L626" s="21">
        <v>25226275.66</v>
      </c>
      <c r="M626" s="21">
        <v>25366047.960000001</v>
      </c>
      <c r="N626" s="21">
        <v>25366047.960000001</v>
      </c>
      <c r="O626" s="21">
        <v>25366047.960000001</v>
      </c>
      <c r="P626" s="21">
        <v>25226275.66</v>
      </c>
      <c r="Q626" s="21">
        <v>25226275.66</v>
      </c>
      <c r="R626" s="21">
        <v>25366047.960000001</v>
      </c>
      <c r="S626" s="21">
        <v>25366047.960000001</v>
      </c>
    </row>
    <row r="627" spans="1:19" x14ac:dyDescent="0.2">
      <c r="A627" s="13">
        <f t="shared" si="204"/>
        <v>627</v>
      </c>
      <c r="B627" s="4" t="s">
        <v>58</v>
      </c>
      <c r="C627" s="4"/>
      <c r="D627" s="43" t="s">
        <v>508</v>
      </c>
      <c r="E627" s="44">
        <f>A101</f>
        <v>101</v>
      </c>
      <c r="F627" s="45"/>
      <c r="G627" s="21">
        <f>IF($E$1149=1,($L627),IF($E$1149=2,($M627),IF($E$1149=3,($N627),IF($E$1149=4,($O627),IF($E$1149=5,($P627),IF($E$1149=6,($Q627),IF($E$1149=7,($R627),IF($E$1149=8,($S627),0))))))))</f>
        <v>19443624.240000002</v>
      </c>
      <c r="H627" s="48">
        <f t="shared" si="218"/>
        <v>18668717.7209884</v>
      </c>
      <c r="I627" s="48">
        <f t="shared" si="218"/>
        <v>774906.51901160495</v>
      </c>
      <c r="J627" s="20">
        <f>IF($E$1149=1,($G627),IF($E$1149=2,($G627),IF($E$1149=3,0,IF($E$1149=4,($H627),IF($E$1149=5,($I627),0)))))</f>
        <v>0</v>
      </c>
      <c r="L627" s="21">
        <v>19142556.710000001</v>
      </c>
      <c r="M627" s="21">
        <v>19443624.240000002</v>
      </c>
      <c r="N627" s="21">
        <v>19443624.240000002</v>
      </c>
      <c r="O627" s="21">
        <v>19443624.240000002</v>
      </c>
      <c r="P627" s="21">
        <v>19142556.710000001</v>
      </c>
      <c r="Q627" s="21">
        <v>19142556.710000001</v>
      </c>
      <c r="R627" s="21">
        <v>19443624.240000002</v>
      </c>
      <c r="S627" s="21">
        <v>19443624.240000002</v>
      </c>
    </row>
    <row r="628" spans="1:19" x14ac:dyDescent="0.2">
      <c r="A628" s="13">
        <f t="shared" si="204"/>
        <v>628</v>
      </c>
      <c r="B628" s="3" t="s">
        <v>59</v>
      </c>
      <c r="C628" s="4"/>
      <c r="D628" s="43" t="s">
        <v>508</v>
      </c>
      <c r="E628" s="44">
        <f>A102</f>
        <v>102</v>
      </c>
      <c r="F628" s="45"/>
      <c r="G628" s="21">
        <f>IF($E$1149=1,($L628),IF($E$1149=2,($M628),IF($E$1149=3,($N628),IF($E$1149=4,($O628),IF($E$1149=5,($P628),IF($E$1149=6,($Q628),IF($E$1149=7,($R628),IF($E$1149=8,($S628),0))))))))</f>
        <v>10894645.560000001</v>
      </c>
      <c r="H628" s="48">
        <f t="shared" si="218"/>
        <v>10460450.177361563</v>
      </c>
      <c r="I628" s="48">
        <f t="shared" si="218"/>
        <v>434195.38263843948</v>
      </c>
      <c r="J628" s="20">
        <f>IF($E$1149=1,($G628),IF($E$1149=2,($G628),IF($E$1149=3,0,IF($E$1149=4,($H628),IF($E$1149=5,($I628),0)))))</f>
        <v>0</v>
      </c>
      <c r="L628" s="21">
        <v>10891172.289999999</v>
      </c>
      <c r="M628" s="21">
        <v>10894645.560000001</v>
      </c>
      <c r="N628" s="21">
        <v>10894645.560000001</v>
      </c>
      <c r="O628" s="21">
        <v>10894645.560000001</v>
      </c>
      <c r="P628" s="21">
        <v>10891172.289999999</v>
      </c>
      <c r="Q628" s="21">
        <v>10891172.289999999</v>
      </c>
      <c r="R628" s="21">
        <v>10894645.560000001</v>
      </c>
      <c r="S628" s="21">
        <v>10894645.560000001</v>
      </c>
    </row>
    <row r="629" spans="1:19" x14ac:dyDescent="0.2">
      <c r="A629" s="13">
        <f t="shared" si="204"/>
        <v>629</v>
      </c>
      <c r="B629" s="3" t="s">
        <v>60</v>
      </c>
      <c r="C629" s="4"/>
      <c r="D629" s="43" t="s">
        <v>508</v>
      </c>
      <c r="E629" s="44">
        <f>A103</f>
        <v>103</v>
      </c>
      <c r="F629" s="45"/>
      <c r="G629" s="21">
        <f>IF($E$1149=1,($L629),IF($E$1149=2,($M629),IF($E$1149=3,($N629),IF($E$1149=4,($O629),IF($E$1149=5,($P629),IF($E$1149=6,($Q629),IF($E$1149=7,($R629),IF($E$1149=8,($S629),0))))))))</f>
        <v>5165185.32</v>
      </c>
      <c r="H629" s="48">
        <f t="shared" si="218"/>
        <v>4959331.9396339627</v>
      </c>
      <c r="I629" s="48">
        <f t="shared" si="218"/>
        <v>205853.3803660383</v>
      </c>
      <c r="J629" s="20">
        <f>IF($E$1149=1,($G629),IF($E$1149=2,($G629),IF($E$1149=3,0,IF($E$1149=4,($H629),IF($E$1149=5,($I629),0)))))</f>
        <v>0</v>
      </c>
      <c r="L629" s="21">
        <v>5182595.58</v>
      </c>
      <c r="M629" s="21">
        <v>5165185.32</v>
      </c>
      <c r="N629" s="21">
        <v>5165185.32</v>
      </c>
      <c r="O629" s="21">
        <v>5165185.32</v>
      </c>
      <c r="P629" s="21">
        <v>5182595.58</v>
      </c>
      <c r="Q629" s="21">
        <v>5182595.58</v>
      </c>
      <c r="R629" s="21">
        <v>5165185.32</v>
      </c>
      <c r="S629" s="21">
        <v>5165185.32</v>
      </c>
    </row>
    <row r="630" spans="1:19" x14ac:dyDescent="0.2">
      <c r="A630" s="13">
        <f t="shared" si="204"/>
        <v>630</v>
      </c>
      <c r="B630" s="4" t="s">
        <v>5</v>
      </c>
      <c r="C630" s="4" t="s">
        <v>61</v>
      </c>
      <c r="D630" s="43" t="s">
        <v>5</v>
      </c>
      <c r="E630" s="44" t="s">
        <v>5</v>
      </c>
      <c r="F630" s="45"/>
      <c r="G630" s="46">
        <f>SUM(G626:G629)</f>
        <v>60869503.080000006</v>
      </c>
      <c r="H630" s="46">
        <f t="shared" ref="H630:I630" si="219">SUM(H626:H629)</f>
        <v>58443608.907006629</v>
      </c>
      <c r="I630" s="46">
        <f t="shared" si="219"/>
        <v>2425894.1729933862</v>
      </c>
      <c r="J630" s="20">
        <f>IF($E$1149=1,($G630),IF($E$1149=2,($G630),IF($E$1149=3,0,IF($E$1149=4,($H630),IF($E$1149=5,($I630),0)))))</f>
        <v>0</v>
      </c>
      <c r="L630" s="21">
        <v>0</v>
      </c>
      <c r="M630" s="21">
        <v>0</v>
      </c>
      <c r="N630" s="21">
        <v>0</v>
      </c>
      <c r="O630" s="21">
        <v>0</v>
      </c>
      <c r="P630" s="21">
        <v>0</v>
      </c>
      <c r="Q630" s="21">
        <v>0</v>
      </c>
      <c r="R630" s="21">
        <v>0</v>
      </c>
      <c r="S630" s="21">
        <v>0</v>
      </c>
    </row>
    <row r="631" spans="1:19" x14ac:dyDescent="0.2">
      <c r="A631" s="13">
        <f t="shared" si="204"/>
        <v>631</v>
      </c>
      <c r="B631" s="4" t="s">
        <v>5</v>
      </c>
      <c r="C631" s="4" t="s">
        <v>5</v>
      </c>
      <c r="D631" s="43" t="s">
        <v>5</v>
      </c>
      <c r="E631" s="44" t="s">
        <v>5</v>
      </c>
      <c r="F631" s="45"/>
      <c r="L631" s="21">
        <v>0</v>
      </c>
      <c r="M631" s="21">
        <v>0</v>
      </c>
      <c r="N631" s="21">
        <v>0</v>
      </c>
      <c r="O631" s="21">
        <v>0</v>
      </c>
      <c r="P631" s="21">
        <v>0</v>
      </c>
      <c r="Q631" s="21">
        <v>0</v>
      </c>
      <c r="R631" s="21">
        <v>0</v>
      </c>
      <c r="S631" s="21">
        <v>0</v>
      </c>
    </row>
    <row r="632" spans="1:19" x14ac:dyDescent="0.2">
      <c r="A632" s="13">
        <f t="shared" si="204"/>
        <v>632</v>
      </c>
      <c r="B632" s="4" t="s">
        <v>62</v>
      </c>
      <c r="C632" s="4"/>
      <c r="D632" s="43" t="s">
        <v>5</v>
      </c>
      <c r="E632" s="44" t="s">
        <v>5</v>
      </c>
      <c r="F632" s="45"/>
      <c r="L632" s="21">
        <v>0</v>
      </c>
      <c r="M632" s="21">
        <v>0</v>
      </c>
      <c r="N632" s="21">
        <v>0</v>
      </c>
      <c r="O632" s="21">
        <v>0</v>
      </c>
      <c r="P632" s="21">
        <v>0</v>
      </c>
      <c r="Q632" s="21">
        <v>0</v>
      </c>
      <c r="R632" s="21">
        <v>0</v>
      </c>
      <c r="S632" s="21">
        <v>0</v>
      </c>
    </row>
    <row r="633" spans="1:19" x14ac:dyDescent="0.2">
      <c r="A633" s="13">
        <f t="shared" si="204"/>
        <v>633</v>
      </c>
      <c r="B633" s="4" t="s">
        <v>63</v>
      </c>
      <c r="C633" s="4"/>
      <c r="D633" s="43" t="s">
        <v>508</v>
      </c>
      <c r="E633" s="44">
        <f>A111</f>
        <v>111</v>
      </c>
      <c r="F633" s="45"/>
      <c r="G633" s="21">
        <f t="shared" ref="G633:G639" si="220">IF($E$1149=1,($L633),IF($E$1149=2,($M633),IF($E$1149=3,($N633),IF($E$1149=4,($O633),IF($E$1149=5,($P633),IF($E$1149=6,($Q633),IF($E$1149=7,($R633),IF($E$1149=8,($S633),0))))))))</f>
        <v>324139.92</v>
      </c>
      <c r="H633" s="48">
        <f>IF($G$111&lt;&gt;0,($G633)*(SUM(H$109:H$110)/$G$111),0)</f>
        <v>311221.64231783984</v>
      </c>
      <c r="I633" s="48">
        <f>IF($G$111&lt;&gt;0,($G633)*(SUM(I$109:I$110)/$G$111),0)</f>
        <v>12918.277682160147</v>
      </c>
      <c r="J633" s="20">
        <f t="shared" ref="J633:J640" si="221">IF($E$1149=1,($G633),IF($E$1149=2,($G633),IF($E$1149=3,0,IF($E$1149=4,($H633),IF($E$1149=5,($I633),0)))))</f>
        <v>0</v>
      </c>
      <c r="L633" s="21">
        <v>321162.75</v>
      </c>
      <c r="M633" s="21">
        <v>324139.92</v>
      </c>
      <c r="N633" s="21">
        <v>324139.92</v>
      </c>
      <c r="O633" s="21">
        <v>324139.92</v>
      </c>
      <c r="P633" s="21">
        <v>321162.75</v>
      </c>
      <c r="Q633" s="21">
        <v>321162.75</v>
      </c>
      <c r="R633" s="21">
        <v>324139.92</v>
      </c>
      <c r="S633" s="21">
        <v>324139.92</v>
      </c>
    </row>
    <row r="634" spans="1:19" x14ac:dyDescent="0.2">
      <c r="A634" s="13">
        <f t="shared" si="204"/>
        <v>634</v>
      </c>
      <c r="B634" s="4" t="s">
        <v>66</v>
      </c>
      <c r="C634" s="4"/>
      <c r="D634" s="43" t="s">
        <v>508</v>
      </c>
      <c r="E634" s="44">
        <f>A116</f>
        <v>116</v>
      </c>
      <c r="F634" s="45"/>
      <c r="G634" s="21">
        <f t="shared" si="220"/>
        <v>1632087</v>
      </c>
      <c r="H634" s="48">
        <f>IF($G$116&lt;&gt;0,($G634)*(SUM(H$114:H$115)/$G$116),0)</f>
        <v>1567029.7396359562</v>
      </c>
      <c r="I634" s="48">
        <f>IF($G$116&lt;&gt;0,($G634)*(SUM(I$114:I$115)/$G$116),0)</f>
        <v>65057.260364044167</v>
      </c>
      <c r="J634" s="20">
        <f t="shared" si="221"/>
        <v>0</v>
      </c>
      <c r="L634" s="21">
        <v>1608567.56</v>
      </c>
      <c r="M634" s="21">
        <v>1632087</v>
      </c>
      <c r="N634" s="21">
        <v>1632087</v>
      </c>
      <c r="O634" s="21">
        <v>1632087</v>
      </c>
      <c r="P634" s="21">
        <v>1608567.56</v>
      </c>
      <c r="Q634" s="21">
        <v>1608567.56</v>
      </c>
      <c r="R634" s="21">
        <v>1632087</v>
      </c>
      <c r="S634" s="21">
        <v>1632087</v>
      </c>
    </row>
    <row r="635" spans="1:19" x14ac:dyDescent="0.2">
      <c r="A635" s="13">
        <f t="shared" si="204"/>
        <v>635</v>
      </c>
      <c r="B635" s="4" t="s">
        <v>68</v>
      </c>
      <c r="C635" s="4"/>
      <c r="D635" s="43" t="s">
        <v>508</v>
      </c>
      <c r="E635" s="44">
        <f>A121</f>
        <v>121</v>
      </c>
      <c r="F635" s="45"/>
      <c r="G635" s="21">
        <f t="shared" si="220"/>
        <v>9094381.6999999993</v>
      </c>
      <c r="H635" s="48">
        <f>IF($G$121&lt;&gt;0,($G635)*(SUM(H$119:H$120)/$G$121),0)</f>
        <v>8731299.8776208758</v>
      </c>
      <c r="I635" s="48">
        <f>IF($G$121&lt;&gt;0,($G635)*(SUM(I$119:I$120)/$G$121),0)</f>
        <v>363081.82237912482</v>
      </c>
      <c r="J635" s="20">
        <f t="shared" si="221"/>
        <v>0</v>
      </c>
      <c r="L635" s="21">
        <v>9042902.2100000009</v>
      </c>
      <c r="M635" s="21">
        <v>9094381.6999999993</v>
      </c>
      <c r="N635" s="21">
        <v>9094381.6999999993</v>
      </c>
      <c r="O635" s="21">
        <v>9094381.6999999993</v>
      </c>
      <c r="P635" s="21">
        <v>9042902.2100000009</v>
      </c>
      <c r="Q635" s="21">
        <v>9042902.2100000009</v>
      </c>
      <c r="R635" s="21">
        <v>9094381.6999999993</v>
      </c>
      <c r="S635" s="21">
        <v>9094381.6999999993</v>
      </c>
    </row>
    <row r="636" spans="1:19" x14ac:dyDescent="0.2">
      <c r="A636" s="13">
        <f t="shared" si="204"/>
        <v>636</v>
      </c>
      <c r="B636" s="4" t="s">
        <v>70</v>
      </c>
      <c r="C636" s="4"/>
      <c r="D636" s="43" t="s">
        <v>508</v>
      </c>
      <c r="E636" s="44">
        <f>A127</f>
        <v>127</v>
      </c>
      <c r="F636" s="45"/>
      <c r="G636" s="21">
        <f t="shared" si="220"/>
        <v>2445641.88</v>
      </c>
      <c r="H636" s="48">
        <f>IF($G$127&lt;&gt;0,($G636)*(SUM(H$125:H$126)/$G$127),0)</f>
        <v>2348173.2284468063</v>
      </c>
      <c r="I636" s="48">
        <f>IF($G$127&lt;&gt;0,($G636)*(SUM(I$125:I$126)/$G$127),0)</f>
        <v>97468.651553194024</v>
      </c>
      <c r="J636" s="20">
        <f t="shared" si="221"/>
        <v>0</v>
      </c>
      <c r="L636" s="21">
        <v>2401804.11</v>
      </c>
      <c r="M636" s="21">
        <v>2445641.88</v>
      </c>
      <c r="N636" s="21">
        <v>2445641.88</v>
      </c>
      <c r="O636" s="21">
        <v>2445641.88</v>
      </c>
      <c r="P636" s="21">
        <v>2401804.11</v>
      </c>
      <c r="Q636" s="21">
        <v>2401804.11</v>
      </c>
      <c r="R636" s="21">
        <v>2445641.88</v>
      </c>
      <c r="S636" s="21">
        <v>2445641.88</v>
      </c>
    </row>
    <row r="637" spans="1:19" x14ac:dyDescent="0.2">
      <c r="A637" s="13">
        <f t="shared" si="204"/>
        <v>637</v>
      </c>
      <c r="B637" s="4" t="s">
        <v>72</v>
      </c>
      <c r="C637" s="4"/>
      <c r="D637" s="43" t="s">
        <v>508</v>
      </c>
      <c r="E637" s="44">
        <f>A132</f>
        <v>132</v>
      </c>
      <c r="F637" s="45"/>
      <c r="G637" s="21">
        <f t="shared" si="220"/>
        <v>6042968.8799999999</v>
      </c>
      <c r="H637" s="48">
        <f>IF($G$132&lt;&gt;0,($G637)*(SUM(H$130:H$131)/$G$132),0)</f>
        <v>5801239.2939517274</v>
      </c>
      <c r="I637" s="48">
        <f>IF($G$132&lt;&gt;0,($G637)*(SUM(I$130:I$131)/$G$132),0)</f>
        <v>241729.58604827308</v>
      </c>
      <c r="J637" s="20">
        <f t="shared" si="221"/>
        <v>0</v>
      </c>
      <c r="L637" s="21">
        <v>6027990.6600000001</v>
      </c>
      <c r="M637" s="21">
        <v>6042968.8799999999</v>
      </c>
      <c r="N637" s="21">
        <v>6042968.8799999999</v>
      </c>
      <c r="O637" s="21">
        <v>6042968.8799999999</v>
      </c>
      <c r="P637" s="21">
        <v>6027990.6600000001</v>
      </c>
      <c r="Q637" s="21">
        <v>6027990.6600000001</v>
      </c>
      <c r="R637" s="21">
        <v>6042968.8799999999</v>
      </c>
      <c r="S637" s="21">
        <v>6042968.8799999999</v>
      </c>
    </row>
    <row r="638" spans="1:19" x14ac:dyDescent="0.2">
      <c r="A638" s="13">
        <f t="shared" si="204"/>
        <v>638</v>
      </c>
      <c r="B638" s="4" t="s">
        <v>74</v>
      </c>
      <c r="C638" s="4"/>
      <c r="D638" s="43" t="s">
        <v>508</v>
      </c>
      <c r="E638" s="44">
        <f>A137</f>
        <v>137</v>
      </c>
      <c r="F638" s="45"/>
      <c r="G638" s="21">
        <f t="shared" si="220"/>
        <v>4733541.5999999996</v>
      </c>
      <c r="H638" s="48">
        <f>IF($G$137&lt;&gt;0,($G638)*(SUM(H$135:H$136)/$G$137),0)</f>
        <v>4544429.1712535564</v>
      </c>
      <c r="I638" s="48">
        <f>IF($G$137&lt;&gt;0,($G638)*(SUM(I$135:I$136)/$G$137),0)</f>
        <v>189112.42874644394</v>
      </c>
      <c r="J638" s="20">
        <f t="shared" si="221"/>
        <v>0</v>
      </c>
      <c r="L638" s="21">
        <v>4636798.62</v>
      </c>
      <c r="M638" s="21">
        <v>4733541.5999999996</v>
      </c>
      <c r="N638" s="21">
        <v>4733541.5999999996</v>
      </c>
      <c r="O638" s="21">
        <v>4733541.5999999996</v>
      </c>
      <c r="P638" s="21">
        <v>4636798.62</v>
      </c>
      <c r="Q638" s="21">
        <v>4636798.62</v>
      </c>
      <c r="R638" s="21">
        <v>4733541.5999999996</v>
      </c>
      <c r="S638" s="21">
        <v>4733541.5999999996</v>
      </c>
    </row>
    <row r="639" spans="1:19" x14ac:dyDescent="0.2">
      <c r="A639" s="13">
        <f t="shared" si="204"/>
        <v>639</v>
      </c>
      <c r="B639" s="4" t="s">
        <v>76</v>
      </c>
      <c r="C639" s="4"/>
      <c r="D639" s="43" t="s">
        <v>508</v>
      </c>
      <c r="E639" s="44">
        <f>A142</f>
        <v>142</v>
      </c>
      <c r="F639" s="45"/>
      <c r="G639" s="21">
        <f t="shared" si="220"/>
        <v>3551.6400000000003</v>
      </c>
      <c r="H639" s="48">
        <f>IF($G$142&lt;&gt;0,($G639)*(SUM(H$140:H$141)/$G$142),0)</f>
        <v>3410.0928812524326</v>
      </c>
      <c r="I639" s="48">
        <f>IF($G$142&lt;&gt;0,($G639)*(SUM(I$140:I$141)/$G$142),0)</f>
        <v>141.54711874756825</v>
      </c>
      <c r="J639" s="20">
        <f t="shared" si="221"/>
        <v>0</v>
      </c>
      <c r="L639" s="21">
        <v>3551.42</v>
      </c>
      <c r="M639" s="21">
        <v>3551.6400000000003</v>
      </c>
      <c r="N639" s="21">
        <v>3551.6400000000003</v>
      </c>
      <c r="O639" s="21">
        <v>3551.6400000000003</v>
      </c>
      <c r="P639" s="21">
        <v>3551.42</v>
      </c>
      <c r="Q639" s="21">
        <v>3551.42</v>
      </c>
      <c r="R639" s="21">
        <v>3551.6400000000003</v>
      </c>
      <c r="S639" s="21">
        <v>3551.6400000000003</v>
      </c>
    </row>
    <row r="640" spans="1:19" x14ac:dyDescent="0.2">
      <c r="A640" s="13">
        <f t="shared" si="204"/>
        <v>640</v>
      </c>
      <c r="B640" s="4" t="s">
        <v>5</v>
      </c>
      <c r="C640" s="4" t="s">
        <v>78</v>
      </c>
      <c r="D640" s="43" t="s">
        <v>5</v>
      </c>
      <c r="E640" s="44" t="s">
        <v>5</v>
      </c>
      <c r="F640" s="45"/>
      <c r="G640" s="46">
        <f>SUM(G633:G639)</f>
        <v>24276312.619999997</v>
      </c>
      <c r="H640" s="46">
        <f t="shared" ref="H640:I640" si="222">SUM(H633:H639)</f>
        <v>23306803.046108011</v>
      </c>
      <c r="I640" s="46">
        <f t="shared" si="222"/>
        <v>969509.57389198779</v>
      </c>
      <c r="J640" s="20">
        <f t="shared" si="221"/>
        <v>0</v>
      </c>
      <c r="L640" s="21">
        <v>0</v>
      </c>
      <c r="M640" s="21">
        <v>0</v>
      </c>
      <c r="N640" s="21">
        <v>0</v>
      </c>
      <c r="O640" s="21">
        <v>0</v>
      </c>
      <c r="P640" s="21">
        <v>0</v>
      </c>
      <c r="Q640" s="21">
        <v>0</v>
      </c>
      <c r="R640" s="21">
        <v>0</v>
      </c>
      <c r="S640" s="21">
        <v>0</v>
      </c>
    </row>
    <row r="641" spans="1:19" x14ac:dyDescent="0.2">
      <c r="A641" s="13">
        <f t="shared" si="204"/>
        <v>641</v>
      </c>
      <c r="B641" s="4" t="s">
        <v>5</v>
      </c>
      <c r="C641" s="4" t="s">
        <v>5</v>
      </c>
      <c r="D641" s="43" t="s">
        <v>5</v>
      </c>
      <c r="E641" s="44" t="s">
        <v>5</v>
      </c>
      <c r="F641" s="45"/>
      <c r="L641" s="21">
        <v>0</v>
      </c>
      <c r="M641" s="21">
        <v>0</v>
      </c>
      <c r="N641" s="21">
        <v>0</v>
      </c>
      <c r="O641" s="21">
        <v>0</v>
      </c>
      <c r="P641" s="21">
        <v>0</v>
      </c>
      <c r="Q641" s="21">
        <v>0</v>
      </c>
      <c r="R641" s="21">
        <v>0</v>
      </c>
      <c r="S641" s="21">
        <v>0</v>
      </c>
    </row>
    <row r="642" spans="1:19" x14ac:dyDescent="0.2">
      <c r="A642" s="13">
        <f t="shared" si="204"/>
        <v>642</v>
      </c>
      <c r="B642" s="4" t="s">
        <v>79</v>
      </c>
      <c r="C642" s="4"/>
      <c r="D642" s="43" t="s">
        <v>5</v>
      </c>
      <c r="E642" s="44" t="s">
        <v>5</v>
      </c>
      <c r="F642" s="45"/>
      <c r="L642" s="21">
        <v>0</v>
      </c>
      <c r="M642" s="21">
        <v>0</v>
      </c>
      <c r="N642" s="21">
        <v>0</v>
      </c>
      <c r="O642" s="21">
        <v>0</v>
      </c>
      <c r="P642" s="21">
        <v>0</v>
      </c>
      <c r="Q642" s="21">
        <v>0</v>
      </c>
      <c r="R642" s="21">
        <v>0</v>
      </c>
      <c r="S642" s="21">
        <v>0</v>
      </c>
    </row>
    <row r="643" spans="1:19" x14ac:dyDescent="0.2">
      <c r="A643" s="13">
        <f t="shared" ref="A643:A706" si="223">A642+1</f>
        <v>643</v>
      </c>
      <c r="B643" s="4" t="s">
        <v>80</v>
      </c>
      <c r="C643" s="4"/>
      <c r="D643" s="43" t="s">
        <v>508</v>
      </c>
      <c r="E643" s="44">
        <f t="shared" ref="E643:E654" si="224">A149</f>
        <v>149</v>
      </c>
      <c r="F643" s="45"/>
      <c r="G643" s="21">
        <f t="shared" ref="G643:G654" si="225">IF($E$1149=1,($L643),IF($E$1149=2,($M643),IF($E$1149=3,($N643),IF($E$1149=4,($O643),IF($E$1149=5,($P643),IF($E$1149=6,($Q643),IF($E$1149=7,($R643),IF($E$1149=8,($S643),0))))))))</f>
        <v>29090.640000000003</v>
      </c>
      <c r="H643" s="48">
        <f>IF($G$149&lt;&gt;0,($G643)*(H149/$G$149),0)</f>
        <v>28381.319128606232</v>
      </c>
      <c r="I643" s="48">
        <f>IF($G$149&lt;&gt;0,($G643)*(I149/$G$149),0)</f>
        <v>709.32087139377347</v>
      </c>
      <c r="J643" s="20">
        <f t="shared" ref="J643:J655" si="226">IF($E$1149=1,($G643),IF($E$1149=2,($G643),IF($E$1149=3,0,IF($E$1149=4,($H643),IF($E$1149=5,($I643),0)))))</f>
        <v>0</v>
      </c>
      <c r="L643" s="21">
        <v>29090.09</v>
      </c>
      <c r="M643" s="21">
        <v>29090.640000000003</v>
      </c>
      <c r="N643" s="21">
        <v>29090.640000000003</v>
      </c>
      <c r="O643" s="21">
        <v>29090.640000000003</v>
      </c>
      <c r="P643" s="21">
        <v>29090.09</v>
      </c>
      <c r="Q643" s="21">
        <v>29090.09</v>
      </c>
      <c r="R643" s="21">
        <v>29090.640000000003</v>
      </c>
      <c r="S643" s="21">
        <v>29090.640000000003</v>
      </c>
    </row>
    <row r="644" spans="1:19" x14ac:dyDescent="0.2">
      <c r="A644" s="13">
        <f t="shared" si="223"/>
        <v>644</v>
      </c>
      <c r="B644" s="4" t="s">
        <v>81</v>
      </c>
      <c r="C644" s="4"/>
      <c r="D644" s="43" t="s">
        <v>508</v>
      </c>
      <c r="E644" s="44">
        <f t="shared" si="224"/>
        <v>150</v>
      </c>
      <c r="F644" s="45"/>
      <c r="G644" s="21">
        <f t="shared" si="225"/>
        <v>1125326.28</v>
      </c>
      <c r="H644" s="48">
        <f>IF($G$150&lt;&gt;0,($G644)*(H150/$G$150),0)</f>
        <v>1068520.4853157406</v>
      </c>
      <c r="I644" s="48">
        <f>IF($G$150&lt;&gt;0,($G644)*(I150/$G$150),0)</f>
        <v>56805.794684259577</v>
      </c>
      <c r="J644" s="20">
        <f t="shared" si="226"/>
        <v>0</v>
      </c>
      <c r="L644" s="21">
        <v>1105882.77</v>
      </c>
      <c r="M644" s="21">
        <v>1125326.28</v>
      </c>
      <c r="N644" s="21">
        <v>1125326.28</v>
      </c>
      <c r="O644" s="21">
        <v>1125326.28</v>
      </c>
      <c r="P644" s="21">
        <v>1105882.77</v>
      </c>
      <c r="Q644" s="21">
        <v>1105882.77</v>
      </c>
      <c r="R644" s="21">
        <v>1125326.28</v>
      </c>
      <c r="S644" s="21">
        <v>1125326.28</v>
      </c>
    </row>
    <row r="645" spans="1:19" x14ac:dyDescent="0.2">
      <c r="A645" s="13">
        <f t="shared" si="223"/>
        <v>645</v>
      </c>
      <c r="B645" s="4" t="s">
        <v>82</v>
      </c>
      <c r="C645" s="4"/>
      <c r="D645" s="43" t="s">
        <v>508</v>
      </c>
      <c r="E645" s="44">
        <f t="shared" si="224"/>
        <v>151</v>
      </c>
      <c r="F645" s="45"/>
      <c r="G645" s="21">
        <f t="shared" si="225"/>
        <v>5563476.8399999999</v>
      </c>
      <c r="H645" s="48">
        <f>IF($G$151&lt;&gt;0,($G645)*(H151/$G$151),0)</f>
        <v>5323988.4369147904</v>
      </c>
      <c r="I645" s="48">
        <f>IF($G$151&lt;&gt;0,($G645)*(I151/$G$151),0)</f>
        <v>239488.40308520963</v>
      </c>
      <c r="J645" s="20">
        <f t="shared" si="226"/>
        <v>0</v>
      </c>
      <c r="L645" s="21">
        <v>5412315.5700000003</v>
      </c>
      <c r="M645" s="21">
        <v>5563476.8399999999</v>
      </c>
      <c r="N645" s="21">
        <v>5563476.8399999999</v>
      </c>
      <c r="O645" s="21">
        <v>5563476.8399999999</v>
      </c>
      <c r="P645" s="21">
        <v>5412315.5700000003</v>
      </c>
      <c r="Q645" s="21">
        <v>5412315.5700000003</v>
      </c>
      <c r="R645" s="21">
        <v>5563476.8399999999</v>
      </c>
      <c r="S645" s="21">
        <v>5563476.8399999999</v>
      </c>
    </row>
    <row r="646" spans="1:19" x14ac:dyDescent="0.2">
      <c r="A646" s="13">
        <f t="shared" si="223"/>
        <v>646</v>
      </c>
      <c r="B646" s="4" t="s">
        <v>83</v>
      </c>
      <c r="C646" s="4"/>
      <c r="D646" s="43" t="s">
        <v>508</v>
      </c>
      <c r="E646" s="44">
        <f t="shared" si="224"/>
        <v>152</v>
      </c>
      <c r="F646" s="45"/>
      <c r="G646" s="21">
        <f t="shared" si="225"/>
        <v>7306241.5199999996</v>
      </c>
      <c r="H646" s="48">
        <f t="shared" ref="H646:I654" si="227">IF($G152&lt;&gt;0,($G646)*(H152/$G152),0)</f>
        <v>6719724.2776136082</v>
      </c>
      <c r="I646" s="48">
        <f t="shared" si="227"/>
        <v>586517.24238639302</v>
      </c>
      <c r="J646" s="20">
        <f t="shared" si="226"/>
        <v>0</v>
      </c>
      <c r="L646" s="21">
        <v>7190590.46</v>
      </c>
      <c r="M646" s="21">
        <v>7306241.5199999996</v>
      </c>
      <c r="N646" s="21">
        <v>7306241.5199999996</v>
      </c>
      <c r="O646" s="21">
        <v>7306241.5199999996</v>
      </c>
      <c r="P646" s="21">
        <v>7190590.46</v>
      </c>
      <c r="Q646" s="21">
        <v>7190590.46</v>
      </c>
      <c r="R646" s="21">
        <v>7306241.5199999996</v>
      </c>
      <c r="S646" s="21">
        <v>7306241.5199999996</v>
      </c>
    </row>
    <row r="647" spans="1:19" x14ac:dyDescent="0.2">
      <c r="A647" s="13">
        <f t="shared" si="223"/>
        <v>647</v>
      </c>
      <c r="B647" s="4" t="s">
        <v>84</v>
      </c>
      <c r="C647" s="4"/>
      <c r="D647" s="43" t="s">
        <v>508</v>
      </c>
      <c r="E647" s="44">
        <f t="shared" si="224"/>
        <v>153</v>
      </c>
      <c r="F647" s="45"/>
      <c r="G647" s="21">
        <f t="shared" si="225"/>
        <v>3945307.68</v>
      </c>
      <c r="H647" s="48">
        <f t="shared" si="227"/>
        <v>3703546.477347896</v>
      </c>
      <c r="I647" s="48">
        <f t="shared" si="227"/>
        <v>241761.20265210426</v>
      </c>
      <c r="J647" s="20">
        <f t="shared" si="226"/>
        <v>0</v>
      </c>
      <c r="L647" s="21">
        <v>3929422.43</v>
      </c>
      <c r="M647" s="21">
        <v>3945307.68</v>
      </c>
      <c r="N647" s="21">
        <v>3945307.68</v>
      </c>
      <c r="O647" s="21">
        <v>3945307.68</v>
      </c>
      <c r="P647" s="21">
        <v>3929422.43</v>
      </c>
      <c r="Q647" s="21">
        <v>3929422.43</v>
      </c>
      <c r="R647" s="21">
        <v>3945307.68</v>
      </c>
      <c r="S647" s="21">
        <v>3945307.68</v>
      </c>
    </row>
    <row r="648" spans="1:19" x14ac:dyDescent="0.2">
      <c r="A648" s="13">
        <f t="shared" si="223"/>
        <v>648</v>
      </c>
      <c r="B648" s="4" t="s">
        <v>85</v>
      </c>
      <c r="C648" s="4"/>
      <c r="D648" s="43" t="s">
        <v>508</v>
      </c>
      <c r="E648" s="44">
        <f t="shared" si="224"/>
        <v>154</v>
      </c>
      <c r="F648" s="45"/>
      <c r="G648" s="21">
        <f t="shared" si="225"/>
        <v>997784.39999999991</v>
      </c>
      <c r="H648" s="48">
        <f t="shared" si="227"/>
        <v>982655.74040661636</v>
      </c>
      <c r="I648" s="48">
        <f t="shared" si="227"/>
        <v>15128.659593383449</v>
      </c>
      <c r="J648" s="20">
        <f t="shared" si="226"/>
        <v>0</v>
      </c>
      <c r="L648" s="21">
        <v>994209.08</v>
      </c>
      <c r="M648" s="21">
        <v>997784.39999999991</v>
      </c>
      <c r="N648" s="21">
        <v>997784.39999999991</v>
      </c>
      <c r="O648" s="21">
        <v>997784.39999999991</v>
      </c>
      <c r="P648" s="21">
        <v>994209.08</v>
      </c>
      <c r="Q648" s="21">
        <v>994209.08</v>
      </c>
      <c r="R648" s="21">
        <v>997784.39999999991</v>
      </c>
      <c r="S648" s="21">
        <v>997784.39999999991</v>
      </c>
    </row>
    <row r="649" spans="1:19" x14ac:dyDescent="0.2">
      <c r="A649" s="13">
        <f t="shared" si="223"/>
        <v>649</v>
      </c>
      <c r="B649" s="4" t="s">
        <v>86</v>
      </c>
      <c r="C649" s="4"/>
      <c r="D649" s="43" t="s">
        <v>508</v>
      </c>
      <c r="E649" s="44">
        <f t="shared" si="224"/>
        <v>155</v>
      </c>
      <c r="F649" s="45"/>
      <c r="G649" s="21">
        <f t="shared" si="225"/>
        <v>5914716.8399999999</v>
      </c>
      <c r="H649" s="48">
        <f t="shared" si="227"/>
        <v>5825642.141174769</v>
      </c>
      <c r="I649" s="48">
        <f t="shared" si="227"/>
        <v>89074.698825230356</v>
      </c>
      <c r="J649" s="20">
        <f t="shared" si="226"/>
        <v>0</v>
      </c>
      <c r="L649" s="21">
        <v>5795031.5800000001</v>
      </c>
      <c r="M649" s="21">
        <v>5914716.8399999999</v>
      </c>
      <c r="N649" s="21">
        <v>5914716.8399999999</v>
      </c>
      <c r="O649" s="21">
        <v>5914716.8399999999</v>
      </c>
      <c r="P649" s="21">
        <v>5795031.5800000001</v>
      </c>
      <c r="Q649" s="21">
        <v>5795031.5800000001</v>
      </c>
      <c r="R649" s="21">
        <v>5914716.8399999999</v>
      </c>
      <c r="S649" s="21">
        <v>5914716.8399999999</v>
      </c>
    </row>
    <row r="650" spans="1:19" x14ac:dyDescent="0.2">
      <c r="A650" s="13">
        <f t="shared" si="223"/>
        <v>650</v>
      </c>
      <c r="B650" s="4" t="s">
        <v>87</v>
      </c>
      <c r="C650" s="4"/>
      <c r="D650" s="43" t="s">
        <v>508</v>
      </c>
      <c r="E650" s="44">
        <f t="shared" si="224"/>
        <v>156</v>
      </c>
      <c r="F650" s="45"/>
      <c r="G650" s="21">
        <f t="shared" si="225"/>
        <v>14669575.919999998</v>
      </c>
      <c r="H650" s="48">
        <f t="shared" si="227"/>
        <v>14132001.681219798</v>
      </c>
      <c r="I650" s="48">
        <f t="shared" si="227"/>
        <v>537574.23878020036</v>
      </c>
      <c r="J650" s="20">
        <f t="shared" si="226"/>
        <v>0</v>
      </c>
      <c r="L650" s="21">
        <v>14333524.76</v>
      </c>
      <c r="M650" s="21">
        <v>14669575.919999998</v>
      </c>
      <c r="N650" s="21">
        <v>14669575.919999998</v>
      </c>
      <c r="O650" s="21">
        <v>14669575.919999998</v>
      </c>
      <c r="P650" s="21">
        <v>14333524.76</v>
      </c>
      <c r="Q650" s="21">
        <v>14333524.76</v>
      </c>
      <c r="R650" s="21">
        <v>14669575.919999998</v>
      </c>
      <c r="S650" s="21">
        <v>14669575.919999998</v>
      </c>
    </row>
    <row r="651" spans="1:19" x14ac:dyDescent="0.2">
      <c r="A651" s="13">
        <f t="shared" si="223"/>
        <v>651</v>
      </c>
      <c r="B651" s="4" t="s">
        <v>88</v>
      </c>
      <c r="C651" s="4"/>
      <c r="D651" s="43" t="s">
        <v>508</v>
      </c>
      <c r="E651" s="44">
        <f t="shared" si="224"/>
        <v>157</v>
      </c>
      <c r="F651" s="45"/>
      <c r="G651" s="21">
        <f t="shared" si="225"/>
        <v>1042581.1199999999</v>
      </c>
      <c r="H651" s="48">
        <f t="shared" si="227"/>
        <v>998652.47765888332</v>
      </c>
      <c r="I651" s="48">
        <f t="shared" si="227"/>
        <v>43928.642341116676</v>
      </c>
      <c r="J651" s="20">
        <f t="shared" si="226"/>
        <v>0</v>
      </c>
      <c r="L651" s="21">
        <v>1032362.67</v>
      </c>
      <c r="M651" s="21">
        <v>1042581.1199999999</v>
      </c>
      <c r="N651" s="21">
        <v>1042581.1199999999</v>
      </c>
      <c r="O651" s="21">
        <v>1042581.1199999999</v>
      </c>
      <c r="P651" s="21">
        <v>1032362.67</v>
      </c>
      <c r="Q651" s="21">
        <v>1032362.67</v>
      </c>
      <c r="R651" s="21">
        <v>1042581.1199999999</v>
      </c>
      <c r="S651" s="21">
        <v>1042581.1199999999</v>
      </c>
    </row>
    <row r="652" spans="1:19" x14ac:dyDescent="0.2">
      <c r="A652" s="13">
        <f t="shared" si="223"/>
        <v>652</v>
      </c>
      <c r="B652" s="3" t="s">
        <v>89</v>
      </c>
      <c r="C652" s="3"/>
      <c r="D652" s="43" t="s">
        <v>508</v>
      </c>
      <c r="E652" s="44">
        <f t="shared" si="224"/>
        <v>158</v>
      </c>
      <c r="F652" s="45"/>
      <c r="G652" s="21">
        <f t="shared" si="225"/>
        <v>5239949.16</v>
      </c>
      <c r="H652" s="48">
        <f t="shared" si="227"/>
        <v>5065315.1726443386</v>
      </c>
      <c r="I652" s="48">
        <f t="shared" si="227"/>
        <v>174633.98735566178</v>
      </c>
      <c r="J652" s="20">
        <f t="shared" si="226"/>
        <v>0</v>
      </c>
      <c r="L652" s="21">
        <v>5211973.87</v>
      </c>
      <c r="M652" s="21">
        <v>5239949.16</v>
      </c>
      <c r="N652" s="21">
        <v>5239949.16</v>
      </c>
      <c r="O652" s="21">
        <v>5239949.16</v>
      </c>
      <c r="P652" s="21">
        <v>5211973.87</v>
      </c>
      <c r="Q652" s="21">
        <v>5211973.87</v>
      </c>
      <c r="R652" s="21">
        <v>5239949.16</v>
      </c>
      <c r="S652" s="21">
        <v>5239949.16</v>
      </c>
    </row>
    <row r="653" spans="1:19" x14ac:dyDescent="0.2">
      <c r="A653" s="13">
        <f t="shared" si="223"/>
        <v>653</v>
      </c>
      <c r="B653" s="4" t="s">
        <v>90</v>
      </c>
      <c r="C653" s="4"/>
      <c r="D653" s="43" t="s">
        <v>508</v>
      </c>
      <c r="E653" s="44">
        <f t="shared" si="224"/>
        <v>159</v>
      </c>
      <c r="F653" s="45"/>
      <c r="G653" s="21">
        <f t="shared" si="225"/>
        <v>146496.36000000002</v>
      </c>
      <c r="H653" s="48">
        <f t="shared" si="227"/>
        <v>137690.17138208234</v>
      </c>
      <c r="I653" s="48">
        <f t="shared" si="227"/>
        <v>8806.1886179176472</v>
      </c>
      <c r="J653" s="20">
        <f t="shared" si="226"/>
        <v>0</v>
      </c>
      <c r="L653" s="21">
        <v>129429.25</v>
      </c>
      <c r="M653" s="21">
        <v>146496.36000000002</v>
      </c>
      <c r="N653" s="21">
        <v>146496.36000000002</v>
      </c>
      <c r="O653" s="21">
        <v>146496.36000000002</v>
      </c>
      <c r="P653" s="21">
        <v>129429.25</v>
      </c>
      <c r="Q653" s="21">
        <v>129429.25</v>
      </c>
      <c r="R653" s="21">
        <v>146496.36000000002</v>
      </c>
      <c r="S653" s="21">
        <v>146496.36000000002</v>
      </c>
    </row>
    <row r="654" spans="1:19" x14ac:dyDescent="0.2">
      <c r="A654" s="13">
        <f t="shared" si="223"/>
        <v>654</v>
      </c>
      <c r="B654" s="4" t="s">
        <v>91</v>
      </c>
      <c r="C654" s="4"/>
      <c r="D654" s="43" t="s">
        <v>508</v>
      </c>
      <c r="E654" s="44">
        <f t="shared" si="224"/>
        <v>160</v>
      </c>
      <c r="F654" s="45"/>
      <c r="G654" s="21">
        <f t="shared" si="225"/>
        <v>97825.799999999988</v>
      </c>
      <c r="H654" s="48">
        <f t="shared" si="227"/>
        <v>93558.49548244114</v>
      </c>
      <c r="I654" s="48">
        <f t="shared" si="227"/>
        <v>4267.3045175588559</v>
      </c>
      <c r="J654" s="20">
        <f t="shared" si="226"/>
        <v>0</v>
      </c>
      <c r="L654" s="21">
        <v>89120.09</v>
      </c>
      <c r="M654" s="21">
        <v>97825.799999999988</v>
      </c>
      <c r="N654" s="21">
        <v>97825.799999999988</v>
      </c>
      <c r="O654" s="21">
        <v>97825.799999999988</v>
      </c>
      <c r="P654" s="21">
        <v>89120.09</v>
      </c>
      <c r="Q654" s="21">
        <v>89120.09</v>
      </c>
      <c r="R654" s="21">
        <v>97825.799999999988</v>
      </c>
      <c r="S654" s="21">
        <v>97825.799999999988</v>
      </c>
    </row>
    <row r="655" spans="1:19" x14ac:dyDescent="0.2">
      <c r="A655" s="13">
        <f t="shared" si="223"/>
        <v>655</v>
      </c>
      <c r="B655" s="4" t="s">
        <v>5</v>
      </c>
      <c r="C655" s="4" t="s">
        <v>92</v>
      </c>
      <c r="D655" s="43" t="s">
        <v>5</v>
      </c>
      <c r="E655" s="44" t="s">
        <v>5</v>
      </c>
      <c r="F655" s="45"/>
      <c r="G655" s="46">
        <f>SUM(G643:G654)</f>
        <v>46078372.559999987</v>
      </c>
      <c r="H655" s="46">
        <f t="shared" ref="H655:I655" si="228">SUM(H643:H654)</f>
        <v>44079676.876289584</v>
      </c>
      <c r="I655" s="46">
        <f t="shared" si="228"/>
        <v>1998695.6837104294</v>
      </c>
      <c r="J655" s="20">
        <f t="shared" si="226"/>
        <v>0</v>
      </c>
      <c r="L655" s="21">
        <v>0</v>
      </c>
      <c r="M655" s="21">
        <v>0</v>
      </c>
      <c r="N655" s="21">
        <v>0</v>
      </c>
      <c r="O655" s="21">
        <v>0</v>
      </c>
      <c r="P655" s="21">
        <v>0</v>
      </c>
      <c r="Q655" s="21">
        <v>0</v>
      </c>
      <c r="R655" s="21">
        <v>0</v>
      </c>
      <c r="S655" s="21">
        <v>0</v>
      </c>
    </row>
    <row r="656" spans="1:19" x14ac:dyDescent="0.2">
      <c r="A656" s="13">
        <f t="shared" si="223"/>
        <v>656</v>
      </c>
      <c r="B656" s="38" t="str">
        <f>B623</f>
        <v>* * * TABLE 6 - DEPRECIATION &amp; AMORTIZATION EXPENSE * * *</v>
      </c>
      <c r="C656" s="4"/>
      <c r="D656" s="43"/>
      <c r="E656" s="44"/>
      <c r="F656" s="45"/>
      <c r="L656" s="21">
        <v>0</v>
      </c>
      <c r="M656" s="21">
        <v>0</v>
      </c>
      <c r="N656" s="21">
        <v>0</v>
      </c>
      <c r="O656" s="21">
        <v>0</v>
      </c>
      <c r="P656" s="21">
        <v>0</v>
      </c>
      <c r="Q656" s="21">
        <v>0</v>
      </c>
      <c r="R656" s="21">
        <v>0</v>
      </c>
      <c r="S656" s="21">
        <v>0</v>
      </c>
    </row>
    <row r="657" spans="1:19" x14ac:dyDescent="0.2">
      <c r="A657" s="13">
        <f t="shared" si="223"/>
        <v>657</v>
      </c>
      <c r="B657" s="4" t="s">
        <v>39</v>
      </c>
      <c r="C657" s="4"/>
      <c r="D657" s="43"/>
      <c r="E657" s="44"/>
      <c r="F657" s="45"/>
      <c r="L657" s="21">
        <v>0</v>
      </c>
      <c r="M657" s="21">
        <v>0</v>
      </c>
      <c r="N657" s="21">
        <v>0</v>
      </c>
      <c r="O657" s="21">
        <v>0</v>
      </c>
      <c r="P657" s="21">
        <v>0</v>
      </c>
      <c r="Q657" s="21">
        <v>0</v>
      </c>
      <c r="R657" s="21">
        <v>0</v>
      </c>
      <c r="S657" s="21">
        <v>0</v>
      </c>
    </row>
    <row r="658" spans="1:19" x14ac:dyDescent="0.2">
      <c r="A658" s="13">
        <f t="shared" si="223"/>
        <v>658</v>
      </c>
      <c r="B658" s="4" t="str">
        <f>(B216)</f>
        <v>GENERAL PLANT</v>
      </c>
      <c r="C658" s="4"/>
      <c r="D658" s="43" t="s">
        <v>5</v>
      </c>
      <c r="E658" s="44" t="s">
        <v>5</v>
      </c>
      <c r="F658" s="45"/>
      <c r="L658" s="21">
        <v>0</v>
      </c>
      <c r="M658" s="21">
        <v>0</v>
      </c>
      <c r="N658" s="21">
        <v>0</v>
      </c>
      <c r="O658" s="21">
        <v>0</v>
      </c>
      <c r="P658" s="21">
        <v>0</v>
      </c>
      <c r="Q658" s="21">
        <v>0</v>
      </c>
      <c r="R658" s="21">
        <v>0</v>
      </c>
      <c r="S658" s="21">
        <v>0</v>
      </c>
    </row>
    <row r="659" spans="1:19" x14ac:dyDescent="0.2">
      <c r="A659" s="13">
        <f t="shared" si="223"/>
        <v>659</v>
      </c>
      <c r="B659" s="4" t="s">
        <v>94</v>
      </c>
      <c r="C659" s="4"/>
      <c r="D659" s="43" t="s">
        <v>508</v>
      </c>
      <c r="E659" s="44">
        <f t="shared" ref="E659:E668" si="229">A165</f>
        <v>165</v>
      </c>
      <c r="F659" s="45"/>
      <c r="G659" s="21">
        <f t="shared" ref="G659:G668" si="230">IF($E$1149=1,($L659),IF($E$1149=2,($M659),IF($E$1149=3,($N659),IF($E$1149=4,($O659),IF($E$1149=5,($P659),IF($E$1149=6,($Q659),IF($E$1149=7,($R659),IF($E$1149=8,($S659),0))))))))</f>
        <v>0</v>
      </c>
      <c r="H659" s="48">
        <f t="shared" ref="H659:I668" si="231">IF($G165&lt;&gt;0,($G659)*(H165/$G165),0)</f>
        <v>0</v>
      </c>
      <c r="I659" s="48">
        <f t="shared" si="231"/>
        <v>0</v>
      </c>
      <c r="J659" s="20">
        <f t="shared" ref="J659:J675" si="232">IF($E$1149=1,($G659),IF($E$1149=2,($G659),IF($E$1149=3,0,IF($E$1149=4,($H659),IF($E$1149=5,($I659),0)))))</f>
        <v>0</v>
      </c>
      <c r="L659" s="21">
        <v>0</v>
      </c>
      <c r="M659" s="21">
        <v>0</v>
      </c>
      <c r="N659" s="21">
        <v>0</v>
      </c>
      <c r="O659" s="21">
        <v>0</v>
      </c>
      <c r="P659" s="21">
        <v>0</v>
      </c>
      <c r="Q659" s="21">
        <v>0</v>
      </c>
      <c r="R659" s="21">
        <v>0</v>
      </c>
      <c r="S659" s="21">
        <v>0</v>
      </c>
    </row>
    <row r="660" spans="1:19" x14ac:dyDescent="0.2">
      <c r="A660" s="13">
        <f t="shared" si="223"/>
        <v>660</v>
      </c>
      <c r="B660" s="4" t="s">
        <v>95</v>
      </c>
      <c r="C660" s="4"/>
      <c r="D660" s="43" t="s">
        <v>508</v>
      </c>
      <c r="E660" s="44">
        <f t="shared" si="229"/>
        <v>166</v>
      </c>
      <c r="F660" s="45"/>
      <c r="G660" s="21">
        <f t="shared" si="230"/>
        <v>2948419.8</v>
      </c>
      <c r="H660" s="48">
        <f t="shared" si="231"/>
        <v>2828186.2689438104</v>
      </c>
      <c r="I660" s="48">
        <f t="shared" si="231"/>
        <v>120233.5310561896</v>
      </c>
      <c r="J660" s="20">
        <f t="shared" si="232"/>
        <v>0</v>
      </c>
      <c r="L660" s="21">
        <v>2945674.79</v>
      </c>
      <c r="M660" s="21">
        <v>2948419.8</v>
      </c>
      <c r="N660" s="21">
        <v>2948419.8</v>
      </c>
      <c r="O660" s="21">
        <v>2948419.8</v>
      </c>
      <c r="P660" s="21">
        <v>2945674.79</v>
      </c>
      <c r="Q660" s="21">
        <v>2945674.79</v>
      </c>
      <c r="R660" s="21">
        <v>2948419.8</v>
      </c>
      <c r="S660" s="21">
        <v>2948419.8</v>
      </c>
    </row>
    <row r="661" spans="1:19" x14ac:dyDescent="0.2">
      <c r="A661" s="13">
        <f t="shared" si="223"/>
        <v>661</v>
      </c>
      <c r="B661" s="4" t="s">
        <v>96</v>
      </c>
      <c r="C661" s="4"/>
      <c r="D661" s="43" t="s">
        <v>508</v>
      </c>
      <c r="E661" s="44">
        <f t="shared" si="229"/>
        <v>167</v>
      </c>
      <c r="F661" s="45"/>
      <c r="G661" s="21">
        <f t="shared" si="230"/>
        <v>7038451.3200000003</v>
      </c>
      <c r="H661" s="48">
        <f t="shared" si="231"/>
        <v>6751430.5045209099</v>
      </c>
      <c r="I661" s="48">
        <f t="shared" si="231"/>
        <v>287020.81547909114</v>
      </c>
      <c r="J661" s="20">
        <f t="shared" si="232"/>
        <v>0</v>
      </c>
      <c r="L661" s="21">
        <v>6892942.4699999997</v>
      </c>
      <c r="M661" s="21">
        <v>7038451.3200000003</v>
      </c>
      <c r="N661" s="21">
        <v>7038451.3200000003</v>
      </c>
      <c r="O661" s="21">
        <v>7038451.3200000003</v>
      </c>
      <c r="P661" s="21">
        <v>6892942.4699999997</v>
      </c>
      <c r="Q661" s="21">
        <v>6892942.4699999997</v>
      </c>
      <c r="R661" s="21">
        <v>7038451.3200000003</v>
      </c>
      <c r="S661" s="21">
        <v>7038451.3200000003</v>
      </c>
    </row>
    <row r="662" spans="1:19" x14ac:dyDescent="0.2">
      <c r="A662" s="13">
        <f t="shared" si="223"/>
        <v>662</v>
      </c>
      <c r="B662" s="4" t="s">
        <v>97</v>
      </c>
      <c r="C662" s="4"/>
      <c r="D662" s="43" t="s">
        <v>508</v>
      </c>
      <c r="E662" s="44">
        <f t="shared" si="229"/>
        <v>168</v>
      </c>
      <c r="F662" s="45"/>
      <c r="G662" s="21">
        <f t="shared" si="230"/>
        <v>188456.16</v>
      </c>
      <c r="H662" s="48">
        <f t="shared" si="231"/>
        <v>180771.11136272989</v>
      </c>
      <c r="I662" s="48">
        <f t="shared" si="231"/>
        <v>7685.0486372701198</v>
      </c>
      <c r="J662" s="20">
        <f t="shared" si="232"/>
        <v>0</v>
      </c>
      <c r="L662" s="21">
        <v>188456.27</v>
      </c>
      <c r="M662" s="21">
        <v>188456.16</v>
      </c>
      <c r="N662" s="21">
        <v>188456.16</v>
      </c>
      <c r="O662" s="21">
        <v>188456.16</v>
      </c>
      <c r="P662" s="21">
        <v>188456.27</v>
      </c>
      <c r="Q662" s="21">
        <v>188456.27</v>
      </c>
      <c r="R662" s="21">
        <v>188456.16</v>
      </c>
      <c r="S662" s="21">
        <v>188456.16</v>
      </c>
    </row>
    <row r="663" spans="1:19" x14ac:dyDescent="0.2">
      <c r="A663" s="13">
        <f t="shared" si="223"/>
        <v>663</v>
      </c>
      <c r="B663" s="4" t="s">
        <v>98</v>
      </c>
      <c r="C663" s="4"/>
      <c r="D663" s="43" t="s">
        <v>508</v>
      </c>
      <c r="E663" s="44">
        <f t="shared" si="229"/>
        <v>169</v>
      </c>
      <c r="F663" s="45"/>
      <c r="G663" s="21">
        <f t="shared" si="230"/>
        <v>162307.44</v>
      </c>
      <c r="H663" s="48">
        <f t="shared" si="231"/>
        <v>155688.70930639573</v>
      </c>
      <c r="I663" s="48">
        <f t="shared" si="231"/>
        <v>6618.7306936042933</v>
      </c>
      <c r="J663" s="20">
        <f t="shared" si="232"/>
        <v>0</v>
      </c>
      <c r="L663" s="21">
        <v>162785.68</v>
      </c>
      <c r="M663" s="21">
        <v>162307.44</v>
      </c>
      <c r="N663" s="21">
        <v>162307.44</v>
      </c>
      <c r="O663" s="21">
        <v>162307.44</v>
      </c>
      <c r="P663" s="21">
        <v>162785.68</v>
      </c>
      <c r="Q663" s="21">
        <v>162785.68</v>
      </c>
      <c r="R663" s="21">
        <v>162307.44</v>
      </c>
      <c r="S663" s="21">
        <v>162307.44</v>
      </c>
    </row>
    <row r="664" spans="1:19" x14ac:dyDescent="0.2">
      <c r="A664" s="13">
        <f t="shared" si="223"/>
        <v>664</v>
      </c>
      <c r="B664" s="4" t="s">
        <v>99</v>
      </c>
      <c r="C664" s="4"/>
      <c r="D664" s="43" t="s">
        <v>508</v>
      </c>
      <c r="E664" s="44">
        <f t="shared" si="229"/>
        <v>170</v>
      </c>
      <c r="F664" s="45"/>
      <c r="G664" s="21">
        <f t="shared" si="230"/>
        <v>608553.84</v>
      </c>
      <c r="H664" s="48">
        <f t="shared" si="231"/>
        <v>583737.63946403714</v>
      </c>
      <c r="I664" s="48">
        <f t="shared" si="231"/>
        <v>24816.200535962838</v>
      </c>
      <c r="J664" s="20">
        <f t="shared" si="232"/>
        <v>0</v>
      </c>
      <c r="L664" s="21">
        <v>591478.18000000005</v>
      </c>
      <c r="M664" s="21">
        <v>608553.84</v>
      </c>
      <c r="N664" s="21">
        <v>608553.84</v>
      </c>
      <c r="O664" s="21">
        <v>608553.84</v>
      </c>
      <c r="P664" s="21">
        <v>591478.18000000005</v>
      </c>
      <c r="Q664" s="21">
        <v>591478.18000000005</v>
      </c>
      <c r="R664" s="21">
        <v>608553.84</v>
      </c>
      <c r="S664" s="21">
        <v>608553.84</v>
      </c>
    </row>
    <row r="665" spans="1:19" x14ac:dyDescent="0.2">
      <c r="A665" s="13">
        <f t="shared" si="223"/>
        <v>665</v>
      </c>
      <c r="B665" s="4" t="s">
        <v>100</v>
      </c>
      <c r="C665" s="4"/>
      <c r="D665" s="43" t="s">
        <v>508</v>
      </c>
      <c r="E665" s="44">
        <f t="shared" si="229"/>
        <v>171</v>
      </c>
      <c r="F665" s="45"/>
      <c r="G665" s="21">
        <f t="shared" si="230"/>
        <v>735816.71999999986</v>
      </c>
      <c r="H665" s="48">
        <f t="shared" si="231"/>
        <v>705810.86993218272</v>
      </c>
      <c r="I665" s="48">
        <f t="shared" si="231"/>
        <v>30005.850067817188</v>
      </c>
      <c r="J665" s="20">
        <f t="shared" si="232"/>
        <v>0</v>
      </c>
      <c r="L665" s="21">
        <v>744893.95</v>
      </c>
      <c r="M665" s="21">
        <v>735816.71999999986</v>
      </c>
      <c r="N665" s="21">
        <v>735816.71999999986</v>
      </c>
      <c r="O665" s="21">
        <v>735816.71999999986</v>
      </c>
      <c r="P665" s="21">
        <v>744893.95</v>
      </c>
      <c r="Q665" s="21">
        <v>744893.95</v>
      </c>
      <c r="R665" s="21">
        <v>735816.71999999986</v>
      </c>
      <c r="S665" s="21">
        <v>735816.71999999986</v>
      </c>
    </row>
    <row r="666" spans="1:19" x14ac:dyDescent="0.2">
      <c r="A666" s="13">
        <f t="shared" si="223"/>
        <v>666</v>
      </c>
      <c r="B666" s="4" t="s">
        <v>101</v>
      </c>
      <c r="C666" s="4"/>
      <c r="D666" s="43" t="s">
        <v>508</v>
      </c>
      <c r="E666" s="44">
        <f t="shared" si="229"/>
        <v>172</v>
      </c>
      <c r="F666" s="45"/>
      <c r="G666" s="21">
        <f t="shared" si="230"/>
        <v>0</v>
      </c>
      <c r="H666" s="48">
        <f t="shared" si="231"/>
        <v>0</v>
      </c>
      <c r="I666" s="48">
        <f t="shared" si="231"/>
        <v>0</v>
      </c>
      <c r="J666" s="20">
        <f t="shared" si="232"/>
        <v>0</v>
      </c>
      <c r="L666" s="21">
        <v>0</v>
      </c>
      <c r="M666" s="21">
        <v>0</v>
      </c>
      <c r="N666" s="21">
        <v>0</v>
      </c>
      <c r="O666" s="21">
        <v>0</v>
      </c>
      <c r="P666" s="21">
        <v>0</v>
      </c>
      <c r="Q666" s="21">
        <v>0</v>
      </c>
      <c r="R666" s="21">
        <v>0</v>
      </c>
      <c r="S666" s="21">
        <v>0</v>
      </c>
    </row>
    <row r="667" spans="1:19" x14ac:dyDescent="0.2">
      <c r="A667" s="13">
        <f t="shared" si="223"/>
        <v>667</v>
      </c>
      <c r="B667" s="4" t="s">
        <v>102</v>
      </c>
      <c r="C667" s="4"/>
      <c r="D667" s="43" t="s">
        <v>508</v>
      </c>
      <c r="E667" s="44">
        <f t="shared" si="229"/>
        <v>173</v>
      </c>
      <c r="F667" s="45"/>
      <c r="G667" s="21">
        <f t="shared" si="230"/>
        <v>5437984.6799999997</v>
      </c>
      <c r="H667" s="48">
        <f t="shared" si="231"/>
        <v>5216229.2502250867</v>
      </c>
      <c r="I667" s="48">
        <f t="shared" si="231"/>
        <v>221755.42977491309</v>
      </c>
      <c r="J667" s="20">
        <f t="shared" si="232"/>
        <v>0</v>
      </c>
      <c r="L667" s="21">
        <v>5025897.3899999997</v>
      </c>
      <c r="M667" s="21">
        <v>5437984.6799999997</v>
      </c>
      <c r="N667" s="21">
        <v>5437984.6799999997</v>
      </c>
      <c r="O667" s="21">
        <v>5437984.6799999997</v>
      </c>
      <c r="P667" s="21">
        <v>5025897.3899999997</v>
      </c>
      <c r="Q667" s="21">
        <v>5025897.3899999997</v>
      </c>
      <c r="R667" s="21">
        <v>5437984.6799999997</v>
      </c>
      <c r="S667" s="21">
        <v>5437984.6799999997</v>
      </c>
    </row>
    <row r="668" spans="1:19" x14ac:dyDescent="0.2">
      <c r="A668" s="13">
        <f t="shared" si="223"/>
        <v>668</v>
      </c>
      <c r="B668" s="4" t="s">
        <v>103</v>
      </c>
      <c r="C668" s="4"/>
      <c r="D668" s="43" t="s">
        <v>508</v>
      </c>
      <c r="E668" s="44">
        <f t="shared" si="229"/>
        <v>174</v>
      </c>
      <c r="F668" s="45"/>
      <c r="G668" s="21">
        <f t="shared" si="230"/>
        <v>621301.44000000006</v>
      </c>
      <c r="H668" s="48">
        <f t="shared" si="231"/>
        <v>595965.40542938188</v>
      </c>
      <c r="I668" s="48">
        <f t="shared" si="231"/>
        <v>25336.034570618245</v>
      </c>
      <c r="J668" s="20">
        <f t="shared" si="232"/>
        <v>0</v>
      </c>
      <c r="L668" s="21">
        <v>555582.41</v>
      </c>
      <c r="M668" s="21">
        <v>621301.44000000006</v>
      </c>
      <c r="N668" s="21">
        <v>621301.44000000006</v>
      </c>
      <c r="O668" s="21">
        <v>621301.44000000006</v>
      </c>
      <c r="P668" s="21">
        <v>555582.41</v>
      </c>
      <c r="Q668" s="21">
        <v>555582.41</v>
      </c>
      <c r="R668" s="21">
        <v>621301.44000000006</v>
      </c>
      <c r="S668" s="21">
        <v>621301.44000000006</v>
      </c>
    </row>
    <row r="669" spans="1:19" x14ac:dyDescent="0.2">
      <c r="A669" s="13">
        <f t="shared" si="223"/>
        <v>669</v>
      </c>
      <c r="B669" s="4" t="s">
        <v>5</v>
      </c>
      <c r="C669" s="4" t="s">
        <v>104</v>
      </c>
      <c r="D669" s="43" t="s">
        <v>5</v>
      </c>
      <c r="E669" s="44" t="s">
        <v>5</v>
      </c>
      <c r="F669" s="45"/>
      <c r="G669" s="46">
        <f>SUM(G659:G668)</f>
        <v>17741291.400000002</v>
      </c>
      <c r="H669" s="46">
        <f t="shared" ref="H669:I669" si="233">SUM(H659:H665,H666:H668)</f>
        <v>17017819.759184536</v>
      </c>
      <c r="I669" s="46">
        <f t="shared" si="233"/>
        <v>723471.64081546653</v>
      </c>
      <c r="J669" s="20">
        <f t="shared" si="232"/>
        <v>0</v>
      </c>
      <c r="L669" s="21">
        <v>0</v>
      </c>
      <c r="M669" s="21">
        <v>0</v>
      </c>
      <c r="N669" s="21">
        <v>0</v>
      </c>
      <c r="O669" s="21">
        <v>0</v>
      </c>
      <c r="P669" s="21">
        <v>0</v>
      </c>
      <c r="Q669" s="21">
        <v>0</v>
      </c>
      <c r="R669" s="21">
        <v>0</v>
      </c>
      <c r="S669" s="21">
        <v>0</v>
      </c>
    </row>
    <row r="670" spans="1:19" x14ac:dyDescent="0.2">
      <c r="A670" s="13">
        <f t="shared" si="223"/>
        <v>670</v>
      </c>
      <c r="B670" s="4"/>
      <c r="C670" s="4"/>
      <c r="D670" s="43" t="s">
        <v>5</v>
      </c>
      <c r="E670" s="44" t="s">
        <v>5</v>
      </c>
      <c r="F670" s="45"/>
      <c r="L670" s="21">
        <v>0</v>
      </c>
      <c r="M670" s="21">
        <v>0</v>
      </c>
      <c r="N670" s="21">
        <v>0</v>
      </c>
      <c r="O670" s="21">
        <v>0</v>
      </c>
      <c r="P670" s="21">
        <v>0</v>
      </c>
      <c r="Q670" s="21">
        <v>0</v>
      </c>
      <c r="R670" s="21">
        <v>0</v>
      </c>
      <c r="S670" s="21">
        <v>0</v>
      </c>
    </row>
    <row r="671" spans="1:19" x14ac:dyDescent="0.2">
      <c r="A671" s="13">
        <f t="shared" si="223"/>
        <v>671</v>
      </c>
      <c r="B671" s="4" t="s">
        <v>391</v>
      </c>
      <c r="C671" s="4"/>
      <c r="D671" s="43"/>
      <c r="E671" s="44" t="s">
        <v>518</v>
      </c>
      <c r="F671" s="45"/>
      <c r="G671" s="21">
        <f t="shared" ref="G671" si="234">IF($E$1149=1,($L671),IF($E$1149=2,($M671),IF($E$1149=3,($N671),IF($E$1149=4,($O671),IF($E$1149=5,($P671),IF($E$1149=6,($Q671),IF($E$1149=7,($R671),IF($E$1149=8,($S671),0))))))))</f>
        <v>0</v>
      </c>
      <c r="H671" s="48">
        <f>IF($G1048&lt;&gt;0,($G671)*(H1048/$G1048),0)</f>
        <v>0</v>
      </c>
      <c r="I671" s="48">
        <f>IF($G1048&lt;&gt;0,($G671)*(I1048/$G1048),0)</f>
        <v>0</v>
      </c>
      <c r="J671" s="20">
        <f t="shared" si="232"/>
        <v>0</v>
      </c>
      <c r="L671" s="21">
        <v>0</v>
      </c>
      <c r="M671" s="21">
        <v>0</v>
      </c>
      <c r="N671" s="21">
        <v>0</v>
      </c>
      <c r="O671" s="21">
        <v>0</v>
      </c>
      <c r="P671" s="21">
        <v>0</v>
      </c>
      <c r="Q671" s="21">
        <v>0</v>
      </c>
      <c r="R671" s="21">
        <v>0</v>
      </c>
      <c r="S671" s="21">
        <v>0</v>
      </c>
    </row>
    <row r="672" spans="1:19" x14ac:dyDescent="0.2">
      <c r="A672" s="13">
        <f t="shared" si="223"/>
        <v>672</v>
      </c>
      <c r="B672" s="4"/>
      <c r="C672" s="4" t="s">
        <v>392</v>
      </c>
      <c r="D672" s="43" t="s">
        <v>5</v>
      </c>
      <c r="E672" s="44" t="s">
        <v>5</v>
      </c>
      <c r="F672" s="45"/>
      <c r="G672" s="46">
        <f>IF(ROUND(SUM(G$630+G$640+G$655+G$669+G$671),0)=ROUND(SUM(H672:I672),0),SUM(G$630+G$640+G$655+G$669+G$671),"      WRONG")</f>
        <v>148965479.66</v>
      </c>
      <c r="H672" s="46">
        <f>SUM(H$630+H$640+H$655+H$669+H$671)</f>
        <v>142847908.58858877</v>
      </c>
      <c r="I672" s="46">
        <f>SUM(I$630+I$640+I$655+I$669+I$671)</f>
        <v>6117571.0714112706</v>
      </c>
      <c r="J672" s="20">
        <f t="shared" si="232"/>
        <v>0</v>
      </c>
      <c r="L672" s="21">
        <v>0</v>
      </c>
      <c r="M672" s="21">
        <v>0</v>
      </c>
      <c r="N672" s="21">
        <v>0</v>
      </c>
      <c r="O672" s="21">
        <v>0</v>
      </c>
      <c r="P672" s="21">
        <v>0</v>
      </c>
      <c r="Q672" s="21">
        <v>0</v>
      </c>
      <c r="R672" s="21">
        <v>0</v>
      </c>
      <c r="S672" s="21">
        <v>0</v>
      </c>
    </row>
    <row r="673" spans="1:19" x14ac:dyDescent="0.2">
      <c r="A673" s="13">
        <f t="shared" si="223"/>
        <v>673</v>
      </c>
      <c r="B673" s="4"/>
      <c r="C673" s="4"/>
      <c r="D673" s="43"/>
      <c r="E673" s="44"/>
      <c r="F673" s="45"/>
    </row>
    <row r="674" spans="1:19" x14ac:dyDescent="0.2">
      <c r="A674" s="13">
        <f t="shared" si="223"/>
        <v>674</v>
      </c>
      <c r="B674" s="4" t="s">
        <v>393</v>
      </c>
      <c r="C674" s="4"/>
      <c r="D674" s="43" t="s">
        <v>508</v>
      </c>
      <c r="E674" s="44">
        <f>A672</f>
        <v>672</v>
      </c>
      <c r="F674" s="45"/>
      <c r="G674" s="21">
        <f>IF($E$1149=1,($L674),IF($E$1149=2,($M674),IF($E$1149=3,($N674),IF($E$1149=4,($O674),IF($E$1149=5,($P674),IF($E$1149=6,($Q674),IF($E$1149=7,($R674),IF($E$1149=8,($S674),0))))))))</f>
        <v>-296299.31999999995</v>
      </c>
      <c r="H674" s="48">
        <f t="shared" ref="H674:I674" si="235">IF($G672&lt;&gt;0,($G674)*(H672/$G672),0)</f>
        <v>-284131.18445176433</v>
      </c>
      <c r="I674" s="48">
        <f t="shared" si="235"/>
        <v>-12168.135548235716</v>
      </c>
      <c r="J674" s="20">
        <f t="shared" si="232"/>
        <v>0</v>
      </c>
      <c r="L674" s="21">
        <v>-296299.31999999995</v>
      </c>
      <c r="M674" s="21">
        <v>-296299.31999999995</v>
      </c>
      <c r="N674" s="21">
        <v>-296299.31999999995</v>
      </c>
      <c r="O674" s="21">
        <v>-296299.31999999995</v>
      </c>
      <c r="P674" s="21">
        <v>-296299.31999999995</v>
      </c>
      <c r="Q674" s="21">
        <v>-296299.31999999995</v>
      </c>
      <c r="R674" s="21">
        <v>-296299.31999999995</v>
      </c>
      <c r="S674" s="21">
        <v>-296299.31999999995</v>
      </c>
    </row>
    <row r="675" spans="1:19" x14ac:dyDescent="0.2">
      <c r="A675" s="13">
        <f t="shared" si="223"/>
        <v>675</v>
      </c>
      <c r="B675" s="4" t="str">
        <f>(B233)</f>
        <v/>
      </c>
      <c r="C675" s="4" t="s">
        <v>394</v>
      </c>
      <c r="D675" s="43" t="s">
        <v>5</v>
      </c>
      <c r="E675" s="44" t="s">
        <v>5</v>
      </c>
      <c r="F675" s="45"/>
      <c r="G675" s="46">
        <f>SUM(G672:G674)</f>
        <v>148669180.34</v>
      </c>
      <c r="H675" s="46">
        <f t="shared" ref="H675:I675" si="236">SUM(H672:H674)</f>
        <v>142563777.40413702</v>
      </c>
      <c r="I675" s="46">
        <f t="shared" si="236"/>
        <v>6105402.9358630348</v>
      </c>
      <c r="J675" s="20">
        <f t="shared" si="232"/>
        <v>0</v>
      </c>
      <c r="L675" s="21">
        <v>0</v>
      </c>
      <c r="M675" s="21">
        <v>0</v>
      </c>
      <c r="N675" s="21">
        <v>0</v>
      </c>
      <c r="O675" s="21">
        <v>0</v>
      </c>
      <c r="P675" s="21">
        <v>0</v>
      </c>
      <c r="Q675" s="21">
        <v>0</v>
      </c>
      <c r="R675" s="21">
        <v>0</v>
      </c>
      <c r="S675" s="21">
        <v>0</v>
      </c>
    </row>
    <row r="676" spans="1:19" x14ac:dyDescent="0.2">
      <c r="A676" s="13">
        <f t="shared" si="223"/>
        <v>676</v>
      </c>
      <c r="B676" s="4" t="str">
        <f>(B234)</f>
        <v/>
      </c>
      <c r="C676" s="4" t="str">
        <f>(C234)</f>
        <v/>
      </c>
      <c r="D676" s="43" t="s">
        <v>5</v>
      </c>
      <c r="E676" s="44" t="s">
        <v>5</v>
      </c>
      <c r="F676" s="45"/>
      <c r="L676" s="21">
        <v>0</v>
      </c>
      <c r="M676" s="21">
        <v>0</v>
      </c>
      <c r="N676" s="21">
        <v>0</v>
      </c>
      <c r="O676" s="21">
        <v>0</v>
      </c>
      <c r="P676" s="21">
        <v>0</v>
      </c>
      <c r="Q676" s="21">
        <v>0</v>
      </c>
      <c r="R676" s="21">
        <v>0</v>
      </c>
      <c r="S676" s="21">
        <v>0</v>
      </c>
    </row>
    <row r="677" spans="1:19" x14ac:dyDescent="0.2">
      <c r="A677" s="13">
        <f t="shared" si="223"/>
        <v>677</v>
      </c>
      <c r="B677" s="4" t="s">
        <v>395</v>
      </c>
      <c r="C677" s="4"/>
      <c r="D677" s="43"/>
      <c r="E677" s="44"/>
      <c r="F677" s="45"/>
      <c r="L677" s="21">
        <v>0</v>
      </c>
      <c r="M677" s="21">
        <v>0</v>
      </c>
      <c r="N677" s="21">
        <v>0</v>
      </c>
      <c r="O677" s="21">
        <v>0</v>
      </c>
      <c r="P677" s="21">
        <v>0</v>
      </c>
      <c r="Q677" s="21">
        <v>0</v>
      </c>
      <c r="R677" s="21">
        <v>0</v>
      </c>
      <c r="S677" s="21">
        <v>0</v>
      </c>
    </row>
    <row r="678" spans="1:19" x14ac:dyDescent="0.2">
      <c r="A678" s="13">
        <f t="shared" si="223"/>
        <v>678</v>
      </c>
      <c r="B678" s="4" t="str">
        <f>(B236)</f>
        <v/>
      </c>
      <c r="C678" s="4" t="str">
        <f>(C236)</f>
        <v>INTANGIBLE PLANT</v>
      </c>
      <c r="D678" s="43" t="s">
        <v>508</v>
      </c>
      <c r="E678" s="44">
        <f>A97</f>
        <v>97</v>
      </c>
      <c r="F678" s="45"/>
      <c r="G678" s="21">
        <f>IF($E$1149=1,($L678),IF($E$1149=2,($M678),IF($E$1149=3,($N678),IF($E$1149=4,($O678),IF($E$1149=5,($P678),IF($E$1149=6,($Q678),IF($E$1149=7,($R678),IF($E$1149=8,($S678),0))))))))</f>
        <v>9172888.3200000003</v>
      </c>
      <c r="H678" s="48">
        <f t="shared" ref="H678:I678" si="237">IF($G$97&lt;&gt;0,($G678)*(H$97/$G$97),0)</f>
        <v>8802779.1471273582</v>
      </c>
      <c r="I678" s="48">
        <f t="shared" si="237"/>
        <v>370109.17287264083</v>
      </c>
      <c r="J678" s="20">
        <f t="shared" ref="J678:J681" si="238">IF($E$1149=1,($G678),IF($E$1149=2,($G678),IF($E$1149=3,0,IF($E$1149=4,($H678),IF($E$1149=5,($I678),0)))))</f>
        <v>0</v>
      </c>
      <c r="L678" s="21">
        <v>8739018.2400000002</v>
      </c>
      <c r="M678" s="21">
        <v>9172888.3200000003</v>
      </c>
      <c r="N678" s="21">
        <v>9172888.3200000003</v>
      </c>
      <c r="O678" s="21">
        <v>9172888.3200000003</v>
      </c>
      <c r="P678" s="21">
        <v>8739018.2400000002</v>
      </c>
      <c r="Q678" s="21">
        <v>8739018.2400000002</v>
      </c>
      <c r="R678" s="21">
        <v>9172888.3200000003</v>
      </c>
      <c r="S678" s="21">
        <v>9172888.3200000003</v>
      </c>
    </row>
    <row r="679" spans="1:19" x14ac:dyDescent="0.2">
      <c r="A679" s="13">
        <f t="shared" si="223"/>
        <v>679</v>
      </c>
      <c r="B679" s="4" t="str">
        <f>(B237)</f>
        <v/>
      </c>
      <c r="C679" s="4" t="str">
        <f>(C237)</f>
        <v>HYDRAULIC PRODUCTION</v>
      </c>
      <c r="D679" s="43" t="s">
        <v>508</v>
      </c>
      <c r="E679" s="44">
        <f>A101</f>
        <v>101</v>
      </c>
      <c r="F679" s="45"/>
      <c r="G679" s="21">
        <f>IF($E$1149=1,($L679),IF($E$1149=2,($M679),IF($E$1149=3,($N679),IF($E$1149=4,($O679),IF($E$1149=5,($P679),IF($E$1149=6,($Q679),IF($E$1149=7,($R679),IF($E$1149=8,($S679),0))))))))</f>
        <v>0</v>
      </c>
      <c r="H679" s="48">
        <f t="shared" ref="H679:I680" si="239">IF($G$101&lt;&gt;0,($G679)*(H$101/$G$101),0)</f>
        <v>0</v>
      </c>
      <c r="I679" s="48">
        <f t="shared" si="239"/>
        <v>0</v>
      </c>
      <c r="J679" s="20">
        <f t="shared" si="238"/>
        <v>0</v>
      </c>
      <c r="L679" s="21">
        <v>0</v>
      </c>
      <c r="M679" s="21">
        <v>0</v>
      </c>
      <c r="N679" s="21">
        <v>0</v>
      </c>
      <c r="O679" s="21">
        <v>0</v>
      </c>
      <c r="P679" s="21">
        <v>0</v>
      </c>
      <c r="Q679" s="21">
        <v>0</v>
      </c>
      <c r="R679" s="21">
        <v>0</v>
      </c>
      <c r="S679" s="21">
        <v>0</v>
      </c>
    </row>
    <row r="680" spans="1:19" x14ac:dyDescent="0.2">
      <c r="A680" s="13">
        <f t="shared" si="223"/>
        <v>680</v>
      </c>
      <c r="B680" s="4" t="str">
        <f>(B238)</f>
        <v/>
      </c>
      <c r="C680" s="4" t="s">
        <v>396</v>
      </c>
      <c r="D680" s="43" t="s">
        <v>508</v>
      </c>
      <c r="E680" s="44">
        <f>A97</f>
        <v>97</v>
      </c>
      <c r="F680" s="45"/>
      <c r="G680" s="21">
        <f>IF($E$1149=1,($L680),IF($E$1149=2,($M680),IF($E$1149=3,($N680),IF($E$1149=4,($O680),IF($E$1149=5,($P680),IF($E$1149=6,($Q680),IF($E$1149=7,($R680),IF($E$1149=8,($S680),0))))))))</f>
        <v>15018</v>
      </c>
      <c r="H680" s="48">
        <f t="shared" si="239"/>
        <v>14419.472381955668</v>
      </c>
      <c r="I680" s="48">
        <f t="shared" si="239"/>
        <v>598.52761804433442</v>
      </c>
      <c r="J680" s="20">
        <f t="shared" si="238"/>
        <v>0</v>
      </c>
      <c r="L680" s="21">
        <v>-243551</v>
      </c>
      <c r="M680" s="21">
        <v>15018</v>
      </c>
      <c r="N680" s="21">
        <v>15018</v>
      </c>
      <c r="O680" s="21">
        <v>15018</v>
      </c>
      <c r="P680" s="21">
        <v>-243551</v>
      </c>
      <c r="Q680" s="21">
        <v>15018</v>
      </c>
      <c r="R680" s="21">
        <v>15018</v>
      </c>
      <c r="S680" s="21">
        <v>15018</v>
      </c>
    </row>
    <row r="681" spans="1:19" x14ac:dyDescent="0.2">
      <c r="A681" s="13">
        <f t="shared" si="223"/>
        <v>681</v>
      </c>
      <c r="B681" s="4" t="str">
        <f>(B239)</f>
        <v/>
      </c>
      <c r="C681" s="4" t="s">
        <v>397</v>
      </c>
      <c r="D681" s="43" t="s">
        <v>5</v>
      </c>
      <c r="E681" s="44" t="s">
        <v>5</v>
      </c>
      <c r="F681" s="45"/>
      <c r="G681" s="46">
        <f>SUM(G678:G680)</f>
        <v>9187906.3200000003</v>
      </c>
      <c r="H681" s="46">
        <f t="shared" ref="H681:I681" si="240">SUM(H678:H680)</f>
        <v>8817198.6195093133</v>
      </c>
      <c r="I681" s="46">
        <f t="shared" si="240"/>
        <v>370707.70049068518</v>
      </c>
      <c r="J681" s="20">
        <f t="shared" si="238"/>
        <v>0</v>
      </c>
      <c r="L681" s="21">
        <v>0</v>
      </c>
      <c r="M681" s="21">
        <v>0</v>
      </c>
      <c r="N681" s="21">
        <v>0</v>
      </c>
      <c r="O681" s="21">
        <v>0</v>
      </c>
      <c r="P681" s="21">
        <v>0</v>
      </c>
      <c r="Q681" s="21">
        <v>0</v>
      </c>
      <c r="R681" s="21">
        <v>0</v>
      </c>
      <c r="S681" s="21">
        <v>0</v>
      </c>
    </row>
    <row r="682" spans="1:19" x14ac:dyDescent="0.2">
      <c r="A682" s="13">
        <f t="shared" si="223"/>
        <v>682</v>
      </c>
      <c r="B682" s="4" t="str">
        <f>(B240)</f>
        <v/>
      </c>
      <c r="C682" s="4" t="str">
        <f>(C240)</f>
        <v/>
      </c>
      <c r="D682" s="43" t="s">
        <v>5</v>
      </c>
      <c r="E682" s="44" t="s">
        <v>5</v>
      </c>
      <c r="F682" s="45"/>
      <c r="G682" s="46"/>
      <c r="H682" s="46"/>
      <c r="I682" s="46"/>
      <c r="L682" s="21">
        <v>0</v>
      </c>
      <c r="M682" s="21">
        <v>0</v>
      </c>
      <c r="N682" s="21">
        <v>0</v>
      </c>
      <c r="O682" s="21">
        <v>0</v>
      </c>
      <c r="P682" s="21">
        <v>0</v>
      </c>
      <c r="Q682" s="21">
        <v>0</v>
      </c>
      <c r="R682" s="21">
        <v>0</v>
      </c>
      <c r="S682" s="21">
        <v>0</v>
      </c>
    </row>
    <row r="683" spans="1:19" x14ac:dyDescent="0.2">
      <c r="A683" s="13">
        <f t="shared" si="223"/>
        <v>683</v>
      </c>
      <c r="B683" s="4" t="str">
        <f>(B241)</f>
        <v/>
      </c>
      <c r="C683" s="4" t="s">
        <v>398</v>
      </c>
      <c r="D683" s="43"/>
      <c r="E683" s="44"/>
      <c r="F683" s="45"/>
      <c r="G683" s="46">
        <f>SUM(G675+G681)</f>
        <v>157857086.66</v>
      </c>
      <c r="H683" s="46">
        <f t="shared" ref="H683:I683" si="241">SUM(H675+H681)</f>
        <v>151380976.02364632</v>
      </c>
      <c r="I683" s="46">
        <f t="shared" si="241"/>
        <v>6476110.63635372</v>
      </c>
      <c r="J683" s="20">
        <f t="shared" ref="J683" si="242">IF($E$1149=1,($G683),IF($E$1149=2,($G683),IF($E$1149=3,0,IF($E$1149=4,($H683),IF($E$1149=5,($I683),0)))))</f>
        <v>0</v>
      </c>
      <c r="L683" s="21">
        <v>0</v>
      </c>
      <c r="M683" s="21">
        <v>0</v>
      </c>
      <c r="N683" s="21">
        <v>0</v>
      </c>
      <c r="O683" s="21">
        <v>0</v>
      </c>
      <c r="P683" s="21">
        <v>0</v>
      </c>
      <c r="Q683" s="21">
        <v>0</v>
      </c>
      <c r="R683" s="21">
        <v>0</v>
      </c>
      <c r="S683" s="21">
        <v>0</v>
      </c>
    </row>
    <row r="684" spans="1:19" x14ac:dyDescent="0.2">
      <c r="A684" s="13">
        <f t="shared" si="223"/>
        <v>684</v>
      </c>
      <c r="B684" s="4" t="s">
        <v>5</v>
      </c>
      <c r="C684" s="4" t="s">
        <v>5</v>
      </c>
      <c r="D684" s="43" t="s">
        <v>5</v>
      </c>
      <c r="E684" s="44" t="s">
        <v>5</v>
      </c>
      <c r="F684" s="45"/>
      <c r="L684" s="21">
        <v>0</v>
      </c>
      <c r="M684" s="21">
        <v>0</v>
      </c>
      <c r="N684" s="21">
        <v>0</v>
      </c>
      <c r="O684" s="21">
        <v>0</v>
      </c>
      <c r="P684" s="21">
        <v>0</v>
      </c>
      <c r="Q684" s="21">
        <v>0</v>
      </c>
      <c r="R684" s="21">
        <v>0</v>
      </c>
      <c r="S684" s="21">
        <v>0</v>
      </c>
    </row>
    <row r="685" spans="1:19" x14ac:dyDescent="0.2">
      <c r="A685" s="13">
        <f t="shared" si="223"/>
        <v>685</v>
      </c>
      <c r="B685" s="4" t="s">
        <v>399</v>
      </c>
      <c r="C685" s="4"/>
      <c r="D685" s="43"/>
      <c r="E685" s="44" t="s">
        <v>519</v>
      </c>
      <c r="F685" s="45"/>
      <c r="G685" s="21">
        <f t="shared" ref="G685" si="243">IF($E$1149=1,($L685),IF($E$1149=2,($M685),IF($E$1149=3,($N685),IF($E$1149=4,($O685),IF($E$1149=5,($P685),IF($E$1149=6,($Q685),IF($E$1149=7,($R685),IF($E$1149=8,($S685),0))))))))</f>
        <v>56782.84</v>
      </c>
      <c r="H685" s="48">
        <f>IF($G1047&lt;&gt;0,($G685)*(H1047/$G1047),0)</f>
        <v>54556.95</v>
      </c>
      <c r="I685" s="48">
        <f>IF($G1047&lt;&gt;0,($G685)*(I1047/$G1047),0)</f>
        <v>2225.89</v>
      </c>
      <c r="J685" s="20">
        <f t="shared" ref="J685" si="244">IF($E$1149=1,($G685),IF($E$1149=2,($G685),IF($E$1149=3,0,IF($E$1149=4,($H685),IF($E$1149=5,($I685),0)))))</f>
        <v>0</v>
      </c>
      <c r="L685" s="21">
        <v>56782.84</v>
      </c>
      <c r="M685" s="21">
        <v>56782.84</v>
      </c>
      <c r="N685" s="21">
        <v>56782.84</v>
      </c>
      <c r="O685" s="21">
        <v>56782.84</v>
      </c>
      <c r="P685" s="21">
        <v>56782.84</v>
      </c>
      <c r="Q685" s="21">
        <v>56782.84</v>
      </c>
      <c r="R685" s="21">
        <v>56782.84</v>
      </c>
      <c r="S685" s="21">
        <v>56782.84</v>
      </c>
    </row>
    <row r="686" spans="1:19" x14ac:dyDescent="0.2">
      <c r="A686" s="13">
        <f t="shared" si="223"/>
        <v>686</v>
      </c>
      <c r="B686" s="4" t="s">
        <v>5</v>
      </c>
      <c r="C686" s="4" t="s">
        <v>5</v>
      </c>
      <c r="D686" s="43" t="s">
        <v>5</v>
      </c>
      <c r="E686" s="44" t="s">
        <v>5</v>
      </c>
      <c r="F686" s="45"/>
      <c r="L686" s="21">
        <v>0</v>
      </c>
      <c r="M686" s="21">
        <v>0</v>
      </c>
      <c r="N686" s="21">
        <v>0</v>
      </c>
      <c r="O686" s="21">
        <v>0</v>
      </c>
      <c r="P686" s="21">
        <v>0</v>
      </c>
      <c r="Q686" s="21">
        <v>0</v>
      </c>
      <c r="R686" s="21">
        <v>0</v>
      </c>
      <c r="S686" s="21">
        <v>0</v>
      </c>
    </row>
    <row r="687" spans="1:19" x14ac:dyDescent="0.2">
      <c r="A687" s="13">
        <f t="shared" si="223"/>
        <v>687</v>
      </c>
      <c r="B687" s="38" t="str">
        <f>"* * * TABLE 7 - TAXES OTHER THAN INCOME TAXES * * *"</f>
        <v>* * * TABLE 7 - TAXES OTHER THAN INCOME TAXES * * *</v>
      </c>
      <c r="C687" s="4"/>
      <c r="D687" s="43"/>
      <c r="E687" s="44"/>
      <c r="F687" s="45"/>
      <c r="L687" s="21">
        <v>0</v>
      </c>
      <c r="M687" s="21">
        <v>0</v>
      </c>
      <c r="N687" s="21">
        <v>0</v>
      </c>
      <c r="O687" s="21">
        <v>0</v>
      </c>
      <c r="P687" s="21">
        <v>0</v>
      </c>
      <c r="Q687" s="21">
        <v>0</v>
      </c>
      <c r="R687" s="21">
        <v>0</v>
      </c>
      <c r="S687" s="21">
        <v>0</v>
      </c>
    </row>
    <row r="688" spans="1:19" x14ac:dyDescent="0.2">
      <c r="A688" s="13">
        <f t="shared" si="223"/>
        <v>688</v>
      </c>
      <c r="B688" s="4" t="s">
        <v>39</v>
      </c>
      <c r="C688" s="4"/>
      <c r="D688" s="43"/>
      <c r="E688" s="44"/>
      <c r="F688" s="45"/>
      <c r="L688" s="21">
        <v>0</v>
      </c>
      <c r="M688" s="21">
        <v>0</v>
      </c>
      <c r="N688" s="21">
        <v>0</v>
      </c>
      <c r="O688" s="21">
        <v>0</v>
      </c>
      <c r="P688" s="21">
        <v>0</v>
      </c>
      <c r="Q688" s="21">
        <v>0</v>
      </c>
      <c r="R688" s="21">
        <v>0</v>
      </c>
      <c r="S688" s="21">
        <v>0</v>
      </c>
    </row>
    <row r="689" spans="1:19" x14ac:dyDescent="0.2">
      <c r="A689" s="13">
        <f t="shared" si="223"/>
        <v>689</v>
      </c>
      <c r="B689" s="4" t="s">
        <v>400</v>
      </c>
      <c r="C689" s="4"/>
      <c r="D689" s="43" t="s">
        <v>5</v>
      </c>
      <c r="E689" s="44" t="s">
        <v>5</v>
      </c>
      <c r="F689" s="45"/>
      <c r="L689" s="21">
        <v>0</v>
      </c>
      <c r="M689" s="21">
        <v>0</v>
      </c>
      <c r="N689" s="21">
        <v>0</v>
      </c>
      <c r="O689" s="21">
        <v>0</v>
      </c>
      <c r="P689" s="21">
        <v>0</v>
      </c>
      <c r="Q689" s="21">
        <v>0</v>
      </c>
      <c r="R689" s="21">
        <v>0</v>
      </c>
      <c r="S689" s="21">
        <v>0</v>
      </c>
    </row>
    <row r="690" spans="1:19" x14ac:dyDescent="0.2">
      <c r="A690" s="13">
        <f t="shared" si="223"/>
        <v>690</v>
      </c>
      <c r="B690" s="4" t="s">
        <v>5</v>
      </c>
      <c r="C690" s="4" t="s">
        <v>401</v>
      </c>
      <c r="D690" s="43" t="s">
        <v>5</v>
      </c>
      <c r="E690" s="44" t="s">
        <v>5</v>
      </c>
      <c r="F690" s="45"/>
      <c r="L690" s="21">
        <v>0</v>
      </c>
      <c r="M690" s="21">
        <v>0</v>
      </c>
      <c r="N690" s="21">
        <v>0</v>
      </c>
      <c r="O690" s="21">
        <v>0</v>
      </c>
      <c r="P690" s="21">
        <v>0</v>
      </c>
      <c r="Q690" s="21">
        <v>0</v>
      </c>
      <c r="R690" s="21">
        <v>0</v>
      </c>
      <c r="S690" s="21">
        <v>0</v>
      </c>
    </row>
    <row r="691" spans="1:19" x14ac:dyDescent="0.2">
      <c r="A691" s="13">
        <f t="shared" si="223"/>
        <v>691</v>
      </c>
      <c r="B691" s="4" t="s">
        <v>5</v>
      </c>
      <c r="C691" s="4" t="s">
        <v>402</v>
      </c>
      <c r="D691" s="43"/>
      <c r="E691" s="44" t="str">
        <f>$E$1062</f>
        <v>LABOR</v>
      </c>
      <c r="F691" s="45"/>
      <c r="G691" s="21">
        <f>IF($E$1149=1,($L691),IF($E$1149=2,($M691),IF($E$1149=3,($N691),IF($E$1149=4,($O691),IF($E$1149=5,($P691),IF($E$1149=6,($Q691),IF($E$1149=7,($R691),IF($E$1149=8,($S691),0))))))))</f>
        <v>0</v>
      </c>
      <c r="H691" s="48">
        <f t="shared" ref="H691:I693" si="245">IF($G$1062&lt;&gt;0,($G691)*(H$1062/$G$1062),0)</f>
        <v>0</v>
      </c>
      <c r="I691" s="48">
        <f t="shared" si="245"/>
        <v>0</v>
      </c>
      <c r="J691" s="20">
        <f t="shared" ref="J691:J693" si="246">IF($E$1149=1,($G691),IF($E$1149=2,($G691),IF($E$1149=3,0,IF($E$1149=4,($H691),IF($E$1149=5,($I691),0)))))</f>
        <v>0</v>
      </c>
      <c r="L691" s="21">
        <v>16901127.830000002</v>
      </c>
      <c r="M691" s="21">
        <v>0</v>
      </c>
      <c r="N691" s="21">
        <v>0</v>
      </c>
      <c r="O691" s="21">
        <v>0</v>
      </c>
      <c r="P691" s="21">
        <v>16901127.830000002</v>
      </c>
      <c r="Q691" s="21">
        <v>16901127.830000002</v>
      </c>
      <c r="R691" s="21">
        <v>0</v>
      </c>
      <c r="S691" s="21">
        <v>0</v>
      </c>
    </row>
    <row r="692" spans="1:19" x14ac:dyDescent="0.2">
      <c r="A692" s="13">
        <f t="shared" si="223"/>
        <v>692</v>
      </c>
      <c r="B692" s="4" t="s">
        <v>5</v>
      </c>
      <c r="C692" s="4" t="s">
        <v>403</v>
      </c>
      <c r="D692" s="43"/>
      <c r="E692" s="44" t="str">
        <f>$E$1062</f>
        <v>LABOR</v>
      </c>
      <c r="F692" s="45"/>
      <c r="G692" s="21">
        <f>IF($E$1149=1,($L692),IF($E$1149=2,($M692),IF($E$1149=3,($N692),IF($E$1149=4,($O692),IF($E$1149=5,($P692),IF($E$1149=6,($Q692),IF($E$1149=7,($R692),IF($E$1149=8,($S692),0))))))))</f>
        <v>0</v>
      </c>
      <c r="H692" s="48">
        <f t="shared" si="245"/>
        <v>0</v>
      </c>
      <c r="I692" s="48">
        <f t="shared" si="245"/>
        <v>0</v>
      </c>
      <c r="J692" s="20">
        <f t="shared" si="246"/>
        <v>0</v>
      </c>
      <c r="L692" s="21">
        <v>91288.61</v>
      </c>
      <c r="M692" s="21">
        <v>0</v>
      </c>
      <c r="N692" s="21">
        <v>0</v>
      </c>
      <c r="O692" s="21">
        <v>0</v>
      </c>
      <c r="P692" s="21">
        <v>91288.61</v>
      </c>
      <c r="Q692" s="21">
        <v>91288.61</v>
      </c>
      <c r="R692" s="21">
        <v>0</v>
      </c>
      <c r="S692" s="21">
        <v>0</v>
      </c>
    </row>
    <row r="693" spans="1:19" x14ac:dyDescent="0.2">
      <c r="A693" s="13">
        <f t="shared" si="223"/>
        <v>693</v>
      </c>
      <c r="B693" s="4" t="s">
        <v>5</v>
      </c>
      <c r="C693" s="4" t="s">
        <v>404</v>
      </c>
      <c r="D693" s="43"/>
      <c r="E693" s="44" t="str">
        <f>$E$1062</f>
        <v>LABOR</v>
      </c>
      <c r="F693" s="45"/>
      <c r="G693" s="21">
        <f>IF($E$1149=1,($L693),IF($E$1149=2,($M693),IF($E$1149=3,($N693),IF($E$1149=4,($O693),IF($E$1149=5,($P693),IF($E$1149=6,($Q693),IF($E$1149=7,($R693),IF($E$1149=8,($S693),0))))))))</f>
        <v>0</v>
      </c>
      <c r="H693" s="48">
        <f t="shared" si="245"/>
        <v>0</v>
      </c>
      <c r="I693" s="48">
        <f t="shared" si="245"/>
        <v>0</v>
      </c>
      <c r="J693" s="20">
        <f t="shared" si="246"/>
        <v>0</v>
      </c>
      <c r="L693" s="21">
        <v>-17208978</v>
      </c>
      <c r="M693" s="21">
        <v>0</v>
      </c>
      <c r="N693" s="21">
        <v>0</v>
      </c>
      <c r="O693" s="21">
        <v>0</v>
      </c>
      <c r="P693" s="21">
        <v>-17208978</v>
      </c>
      <c r="Q693" s="21">
        <v>-17208978</v>
      </c>
      <c r="R693" s="21">
        <v>0</v>
      </c>
      <c r="S693" s="21">
        <v>0</v>
      </c>
    </row>
    <row r="694" spans="1:19" x14ac:dyDescent="0.2">
      <c r="A694" s="13">
        <f t="shared" si="223"/>
        <v>694</v>
      </c>
      <c r="B694" s="4"/>
      <c r="C694" s="4"/>
      <c r="D694" s="43"/>
      <c r="E694" s="44"/>
      <c r="F694" s="45"/>
      <c r="G694" s="21"/>
      <c r="H694" s="48"/>
      <c r="I694" s="48"/>
      <c r="L694" s="21">
        <v>0</v>
      </c>
      <c r="M694" s="21">
        <v>0</v>
      </c>
      <c r="N694" s="21">
        <v>0</v>
      </c>
      <c r="O694" s="21">
        <v>0</v>
      </c>
      <c r="P694" s="21">
        <v>0</v>
      </c>
      <c r="Q694" s="21">
        <v>0</v>
      </c>
      <c r="R694" s="21">
        <v>0</v>
      </c>
      <c r="S694" s="21">
        <v>0</v>
      </c>
    </row>
    <row r="695" spans="1:19" x14ac:dyDescent="0.2">
      <c r="A695" s="13">
        <f t="shared" si="223"/>
        <v>695</v>
      </c>
      <c r="B695" s="4" t="s">
        <v>5</v>
      </c>
      <c r="C695" s="4" t="s">
        <v>405</v>
      </c>
      <c r="D695" s="43" t="s">
        <v>5</v>
      </c>
      <c r="E695" s="44"/>
      <c r="F695" s="45"/>
      <c r="L695" s="21">
        <v>0</v>
      </c>
      <c r="M695" s="21">
        <v>0</v>
      </c>
      <c r="N695" s="21">
        <v>0</v>
      </c>
      <c r="O695" s="21">
        <v>0</v>
      </c>
      <c r="P695" s="21">
        <v>0</v>
      </c>
      <c r="Q695" s="21">
        <v>0</v>
      </c>
      <c r="R695" s="21">
        <v>0</v>
      </c>
      <c r="S695" s="21">
        <v>0</v>
      </c>
    </row>
    <row r="696" spans="1:19" x14ac:dyDescent="0.2">
      <c r="A696" s="13">
        <f t="shared" si="223"/>
        <v>696</v>
      </c>
      <c r="B696" s="4" t="s">
        <v>5</v>
      </c>
      <c r="C696" s="4" t="s">
        <v>406</v>
      </c>
      <c r="D696" s="43" t="s">
        <v>5</v>
      </c>
      <c r="E696" s="44"/>
      <c r="F696" s="45"/>
      <c r="L696" s="21">
        <v>0</v>
      </c>
      <c r="M696" s="21">
        <v>0</v>
      </c>
      <c r="N696" s="21">
        <v>0</v>
      </c>
      <c r="O696" s="21">
        <v>0</v>
      </c>
      <c r="P696" s="21">
        <v>0</v>
      </c>
      <c r="Q696" s="21">
        <v>0</v>
      </c>
      <c r="R696" s="21">
        <v>0</v>
      </c>
      <c r="S696" s="21">
        <v>0</v>
      </c>
    </row>
    <row r="697" spans="1:19" x14ac:dyDescent="0.2">
      <c r="A697" s="13">
        <f t="shared" si="223"/>
        <v>697</v>
      </c>
      <c r="B697" s="4" t="s">
        <v>5</v>
      </c>
      <c r="C697" s="4" t="s">
        <v>407</v>
      </c>
      <c r="D697" s="43" t="s">
        <v>508</v>
      </c>
      <c r="E697" s="44">
        <f>A100</f>
        <v>100</v>
      </c>
      <c r="F697" s="45"/>
      <c r="G697" s="21">
        <f t="shared" ref="G697:G703" si="247">IF($E$1149=1,($L697),IF($E$1149=2,($M697),IF($E$1149=3,($N697),IF($E$1149=4,($O697),IF($E$1149=5,($P697),IF($E$1149=6,($Q697),IF($E$1149=7,($R697),IF($E$1149=8,($S697),0))))))))</f>
        <v>1212780.94</v>
      </c>
      <c r="H697" s="48">
        <f t="shared" ref="H697:I699" si="248">IF($G$100&lt;&gt;0,($G697)*(H$100/$G$100),0)</f>
        <v>1164446.7485478914</v>
      </c>
      <c r="I697" s="48">
        <f t="shared" si="248"/>
        <v>48334.191452108724</v>
      </c>
      <c r="J697" s="20">
        <f t="shared" ref="J697:J706" si="249">IF($E$1149=1,($G697),IF($E$1149=2,($G697),IF($E$1149=3,0,IF($E$1149=4,($H697),IF($E$1149=5,($I697),0)))))</f>
        <v>0</v>
      </c>
      <c r="L697" s="21">
        <v>1212780.94</v>
      </c>
      <c r="M697" s="21">
        <v>1212780.94</v>
      </c>
      <c r="N697" s="21">
        <v>1212780.94</v>
      </c>
      <c r="O697" s="21">
        <v>1212780.94</v>
      </c>
      <c r="P697" s="21">
        <v>1212780.94</v>
      </c>
      <c r="Q697" s="21">
        <v>1212780.94</v>
      </c>
      <c r="R697" s="21">
        <v>1212780.94</v>
      </c>
      <c r="S697" s="21">
        <v>1212780.94</v>
      </c>
    </row>
    <row r="698" spans="1:19" x14ac:dyDescent="0.2">
      <c r="A698" s="13">
        <f t="shared" si="223"/>
        <v>698</v>
      </c>
      <c r="B698" s="4" t="s">
        <v>5</v>
      </c>
      <c r="C698" s="4" t="s">
        <v>408</v>
      </c>
      <c r="D698" s="43" t="s">
        <v>508</v>
      </c>
      <c r="E698" s="44">
        <f>A100</f>
        <v>100</v>
      </c>
      <c r="F698" s="45"/>
      <c r="G698" s="21">
        <f t="shared" si="247"/>
        <v>432973.44</v>
      </c>
      <c r="H698" s="48">
        <f t="shared" si="248"/>
        <v>415717.70942870819</v>
      </c>
      <c r="I698" s="48">
        <f t="shared" si="248"/>
        <v>17255.730571291886</v>
      </c>
      <c r="J698" s="20">
        <f t="shared" si="249"/>
        <v>0</v>
      </c>
      <c r="L698" s="21">
        <v>432973.44</v>
      </c>
      <c r="M698" s="21">
        <v>432973.44</v>
      </c>
      <c r="N698" s="21">
        <v>432973.44</v>
      </c>
      <c r="O698" s="21">
        <v>432973.44</v>
      </c>
      <c r="P698" s="21">
        <v>432973.44</v>
      </c>
      <c r="Q698" s="21">
        <v>432973.44</v>
      </c>
      <c r="R698" s="21">
        <v>432973.44</v>
      </c>
      <c r="S698" s="21">
        <v>432973.44</v>
      </c>
    </row>
    <row r="699" spans="1:19" x14ac:dyDescent="0.2">
      <c r="A699" s="13">
        <f t="shared" si="223"/>
        <v>699</v>
      </c>
      <c r="B699" s="4" t="s">
        <v>5</v>
      </c>
      <c r="C699" s="4" t="s">
        <v>409</v>
      </c>
      <c r="D699" s="43" t="s">
        <v>508</v>
      </c>
      <c r="E699" s="44">
        <f>A100</f>
        <v>100</v>
      </c>
      <c r="F699" s="45"/>
      <c r="G699" s="21">
        <f t="shared" si="247"/>
        <v>38510.26</v>
      </c>
      <c r="H699" s="48">
        <f t="shared" si="248"/>
        <v>36975.471467035029</v>
      </c>
      <c r="I699" s="48">
        <f t="shared" si="248"/>
        <v>1534.788532964976</v>
      </c>
      <c r="J699" s="20">
        <f t="shared" si="249"/>
        <v>0</v>
      </c>
      <c r="L699" s="21">
        <v>38510.26</v>
      </c>
      <c r="M699" s="21">
        <v>38510.26</v>
      </c>
      <c r="N699" s="21">
        <v>38510.26</v>
      </c>
      <c r="O699" s="21">
        <v>38510.26</v>
      </c>
      <c r="P699" s="21">
        <v>38510.26</v>
      </c>
      <c r="Q699" s="21">
        <v>38510.26</v>
      </c>
      <c r="R699" s="21">
        <v>38510.26</v>
      </c>
      <c r="S699" s="21">
        <v>38510.26</v>
      </c>
    </row>
    <row r="700" spans="1:19" x14ac:dyDescent="0.2">
      <c r="A700" s="13">
        <f t="shared" si="223"/>
        <v>700</v>
      </c>
      <c r="B700" s="4" t="s">
        <v>5</v>
      </c>
      <c r="C700" s="4" t="s">
        <v>410</v>
      </c>
      <c r="D700" s="43" t="s">
        <v>508</v>
      </c>
      <c r="E700" s="44">
        <f>A105</f>
        <v>105</v>
      </c>
      <c r="F700" s="45"/>
      <c r="G700" s="21">
        <f t="shared" si="247"/>
        <v>7267288.2100000009</v>
      </c>
      <c r="H700" s="48">
        <f t="shared" ref="H700:I700" si="250">IF($G$105&lt;&gt;0,($G700)*(H$105/$G$105),0)</f>
        <v>6977657.5866165301</v>
      </c>
      <c r="I700" s="48">
        <f t="shared" si="250"/>
        <v>289630.62338347151</v>
      </c>
      <c r="J700" s="20">
        <f t="shared" si="249"/>
        <v>0</v>
      </c>
      <c r="L700" s="21">
        <v>7267288.2100000009</v>
      </c>
      <c r="M700" s="21">
        <v>7267288.2100000009</v>
      </c>
      <c r="N700" s="21">
        <v>7267288.2100000009</v>
      </c>
      <c r="O700" s="21">
        <v>7267288.2100000009</v>
      </c>
      <c r="P700" s="21">
        <v>7267288.2100000009</v>
      </c>
      <c r="Q700" s="21">
        <v>7267288.2100000009</v>
      </c>
      <c r="R700" s="21">
        <v>7267288.2100000009</v>
      </c>
      <c r="S700" s="21">
        <v>7267288.2100000009</v>
      </c>
    </row>
    <row r="701" spans="1:19" x14ac:dyDescent="0.2">
      <c r="A701" s="13">
        <f t="shared" si="223"/>
        <v>701</v>
      </c>
      <c r="B701" s="4" t="s">
        <v>5</v>
      </c>
      <c r="C701" s="4" t="s">
        <v>411</v>
      </c>
      <c r="D701" s="43" t="s">
        <v>508</v>
      </c>
      <c r="E701" s="44">
        <f>A143</f>
        <v>143</v>
      </c>
      <c r="F701" s="45"/>
      <c r="G701" s="21">
        <f t="shared" si="247"/>
        <v>6369339.9800000004</v>
      </c>
      <c r="H701" s="48">
        <f t="shared" ref="H701:I701" si="251">IF($G$144&lt;&gt;0,($G701)*(H$144/$G$144),0)</f>
        <v>6115050.6681813262</v>
      </c>
      <c r="I701" s="48">
        <f t="shared" si="251"/>
        <v>254289.3118186756</v>
      </c>
      <c r="J701" s="20">
        <f t="shared" si="249"/>
        <v>0</v>
      </c>
      <c r="L701" s="21">
        <v>6369339.9800000004</v>
      </c>
      <c r="M701" s="21">
        <v>6369339.9800000004</v>
      </c>
      <c r="N701" s="21">
        <v>6369339.9800000004</v>
      </c>
      <c r="O701" s="21">
        <v>6369339.9800000004</v>
      </c>
      <c r="P701" s="21">
        <v>6369339.9800000004</v>
      </c>
      <c r="Q701" s="21">
        <v>6369339.9800000004</v>
      </c>
      <c r="R701" s="21">
        <v>6369339.9800000004</v>
      </c>
      <c r="S701" s="21">
        <v>6369339.9800000004</v>
      </c>
    </row>
    <row r="702" spans="1:19" x14ac:dyDescent="0.2">
      <c r="A702" s="13">
        <f t="shared" si="223"/>
        <v>702</v>
      </c>
      <c r="B702" s="4" t="s">
        <v>5</v>
      </c>
      <c r="C702" s="4" t="s">
        <v>412</v>
      </c>
      <c r="D702" s="43" t="s">
        <v>508</v>
      </c>
      <c r="E702" s="44">
        <f>A162</f>
        <v>162</v>
      </c>
      <c r="F702" s="45"/>
      <c r="G702" s="21">
        <f t="shared" si="247"/>
        <v>9101197.2200000007</v>
      </c>
      <c r="H702" s="48">
        <f t="shared" ref="H702:I702" si="252">IF($G$162&lt;&gt;0,($G702)*(H$162/$G$162),0)</f>
        <v>8715434.1710171495</v>
      </c>
      <c r="I702" s="48">
        <f t="shared" si="252"/>
        <v>385763.04898285324</v>
      </c>
      <c r="J702" s="20">
        <f t="shared" si="249"/>
        <v>0</v>
      </c>
      <c r="L702" s="21">
        <v>9101197.2200000007</v>
      </c>
      <c r="M702" s="21">
        <v>9101197.2200000007</v>
      </c>
      <c r="N702" s="21">
        <v>9101197.2200000007</v>
      </c>
      <c r="O702" s="21">
        <v>9101197.2200000007</v>
      </c>
      <c r="P702" s="21">
        <v>9101197.2200000007</v>
      </c>
      <c r="Q702" s="21">
        <v>9101197.2200000007</v>
      </c>
      <c r="R702" s="21">
        <v>9101197.2200000007</v>
      </c>
      <c r="S702" s="21">
        <v>9101197.2200000007</v>
      </c>
    </row>
    <row r="703" spans="1:19" x14ac:dyDescent="0.2">
      <c r="A703" s="13">
        <f t="shared" si="223"/>
        <v>703</v>
      </c>
      <c r="B703" s="4" t="s">
        <v>5</v>
      </c>
      <c r="C703" s="4" t="s">
        <v>413</v>
      </c>
      <c r="D703" s="43" t="s">
        <v>508</v>
      </c>
      <c r="E703" s="44">
        <f>A176</f>
        <v>176</v>
      </c>
      <c r="F703" s="45"/>
      <c r="G703" s="21">
        <f t="shared" si="247"/>
        <v>1751713.52</v>
      </c>
      <c r="H703" s="48">
        <f t="shared" ref="H703:I703" si="253">IF($G$176&lt;&gt;0,($G703)*(H$176/$G$176),0)</f>
        <v>1680280.4418784701</v>
      </c>
      <c r="I703" s="48">
        <f t="shared" si="253"/>
        <v>71433.07812153046</v>
      </c>
      <c r="J703" s="20">
        <f t="shared" si="249"/>
        <v>0</v>
      </c>
      <c r="L703" s="21">
        <v>1751713.52</v>
      </c>
      <c r="M703" s="21">
        <v>1751713.52</v>
      </c>
      <c r="N703" s="21">
        <v>1751713.52</v>
      </c>
      <c r="O703" s="21">
        <v>1751713.52</v>
      </c>
      <c r="P703" s="21">
        <v>1751713.52</v>
      </c>
      <c r="Q703" s="21">
        <v>1751713.52</v>
      </c>
      <c r="R703" s="21">
        <v>1751713.52</v>
      </c>
      <c r="S703" s="21">
        <v>1751713.52</v>
      </c>
    </row>
    <row r="704" spans="1:19" x14ac:dyDescent="0.2">
      <c r="A704" s="13">
        <f t="shared" si="223"/>
        <v>704</v>
      </c>
      <c r="B704" s="4" t="s">
        <v>35</v>
      </c>
      <c r="C704" s="4" t="s">
        <v>414</v>
      </c>
      <c r="D704" s="43" t="s">
        <v>5</v>
      </c>
      <c r="E704" s="44" t="s">
        <v>5</v>
      </c>
      <c r="F704" s="45"/>
      <c r="G704" s="46">
        <f>SUM(G697:G703)</f>
        <v>26173803.570000004</v>
      </c>
      <c r="H704" s="48">
        <f t="shared" ref="H704:I704" si="254">SUM(H697:H703)</f>
        <v>25105562.797137111</v>
      </c>
      <c r="I704" s="48">
        <f t="shared" si="254"/>
        <v>1068240.7728628963</v>
      </c>
      <c r="J704" s="20">
        <f t="shared" si="249"/>
        <v>0</v>
      </c>
      <c r="L704" s="21">
        <v>0</v>
      </c>
      <c r="M704" s="21">
        <v>0</v>
      </c>
      <c r="N704" s="21">
        <v>0</v>
      </c>
      <c r="O704" s="21">
        <v>0</v>
      </c>
      <c r="P704" s="21">
        <v>0</v>
      </c>
      <c r="Q704" s="21">
        <v>0</v>
      </c>
      <c r="R704" s="21">
        <v>0</v>
      </c>
      <c r="S704" s="21">
        <v>0</v>
      </c>
    </row>
    <row r="705" spans="1:19" x14ac:dyDescent="0.2">
      <c r="A705" s="13">
        <f t="shared" si="223"/>
        <v>705</v>
      </c>
      <c r="B705" s="4"/>
      <c r="C705" s="4"/>
      <c r="D705" s="43"/>
      <c r="E705" s="44"/>
      <c r="F705" s="45"/>
      <c r="H705" s="48"/>
      <c r="I705" s="48"/>
      <c r="L705" s="21">
        <v>0</v>
      </c>
      <c r="M705" s="21">
        <v>0</v>
      </c>
      <c r="N705" s="21">
        <v>0</v>
      </c>
      <c r="O705" s="21">
        <v>0</v>
      </c>
      <c r="P705" s="21">
        <v>0</v>
      </c>
      <c r="Q705" s="21">
        <v>0</v>
      </c>
      <c r="R705" s="21">
        <v>0</v>
      </c>
      <c r="S705" s="21">
        <v>0</v>
      </c>
    </row>
    <row r="706" spans="1:19" x14ac:dyDescent="0.2">
      <c r="A706" s="13">
        <f t="shared" si="223"/>
        <v>706</v>
      </c>
      <c r="B706" s="4" t="s">
        <v>5</v>
      </c>
      <c r="C706" s="4" t="s">
        <v>415</v>
      </c>
      <c r="D706" s="43" t="s">
        <v>508</v>
      </c>
      <c r="E706" s="44">
        <f>A101</f>
        <v>101</v>
      </c>
      <c r="F706" s="45"/>
      <c r="G706" s="21">
        <f>IF($E$1149=1,($L706),IF($E$1149=2,($M706),IF($E$1149=3,($N706),IF($E$1149=4,($O706),IF($E$1149=5,($P706),IF($E$1149=6,($Q706),IF($E$1149=7,($R706),IF($E$1149=8,($S706),0))))))))</f>
        <v>4009</v>
      </c>
      <c r="H706" s="48">
        <f t="shared" ref="H706:I706" si="255">IF($G$101&lt;&gt;0,($G706)*(H$101/$G$101),0)</f>
        <v>3849.2252483193683</v>
      </c>
      <c r="I706" s="48">
        <f t="shared" si="255"/>
        <v>159.77475168063236</v>
      </c>
      <c r="J706" s="20">
        <f t="shared" si="249"/>
        <v>0</v>
      </c>
      <c r="L706" s="21">
        <v>4009</v>
      </c>
      <c r="M706" s="21">
        <v>4009</v>
      </c>
      <c r="N706" s="21">
        <v>4009</v>
      </c>
      <c r="O706" s="21">
        <v>4009</v>
      </c>
      <c r="P706" s="21">
        <v>4009</v>
      </c>
      <c r="Q706" s="21">
        <v>4009</v>
      </c>
      <c r="R706" s="21">
        <v>4009</v>
      </c>
      <c r="S706" s="21">
        <v>4009</v>
      </c>
    </row>
    <row r="707" spans="1:19" x14ac:dyDescent="0.2">
      <c r="A707" s="13">
        <f t="shared" ref="A707:A770" si="256">A706+1</f>
        <v>707</v>
      </c>
      <c r="B707" s="4" t="s">
        <v>5</v>
      </c>
      <c r="C707" s="4" t="s">
        <v>5</v>
      </c>
      <c r="D707" s="43" t="s">
        <v>5</v>
      </c>
      <c r="E707" s="44" t="s">
        <v>5</v>
      </c>
      <c r="F707" s="45"/>
      <c r="L707" s="21">
        <v>0</v>
      </c>
      <c r="M707" s="21">
        <v>0</v>
      </c>
      <c r="N707" s="21">
        <v>0</v>
      </c>
      <c r="O707" s="21">
        <v>0</v>
      </c>
      <c r="P707" s="21">
        <v>0</v>
      </c>
      <c r="Q707" s="21">
        <v>0</v>
      </c>
      <c r="R707" s="21">
        <v>0</v>
      </c>
      <c r="S707" s="21">
        <v>0</v>
      </c>
    </row>
    <row r="708" spans="1:19" x14ac:dyDescent="0.2">
      <c r="A708" s="13">
        <f t="shared" si="256"/>
        <v>708</v>
      </c>
      <c r="B708" s="4" t="s">
        <v>5</v>
      </c>
      <c r="C708" s="4" t="s">
        <v>416</v>
      </c>
      <c r="D708" s="43" t="s">
        <v>5</v>
      </c>
      <c r="E708" s="44" t="s">
        <v>5</v>
      </c>
      <c r="F708" s="45"/>
      <c r="L708" s="21">
        <v>0</v>
      </c>
      <c r="M708" s="21">
        <v>0</v>
      </c>
      <c r="N708" s="21">
        <v>0</v>
      </c>
      <c r="O708" s="21">
        <v>0</v>
      </c>
      <c r="P708" s="21">
        <v>0</v>
      </c>
      <c r="Q708" s="21">
        <v>0</v>
      </c>
      <c r="R708" s="21">
        <v>0</v>
      </c>
      <c r="S708" s="21">
        <v>0</v>
      </c>
    </row>
    <row r="709" spans="1:19" x14ac:dyDescent="0.2">
      <c r="A709" s="13">
        <f t="shared" si="256"/>
        <v>709</v>
      </c>
      <c r="B709" s="4" t="s">
        <v>5</v>
      </c>
      <c r="C709" s="4" t="s">
        <v>417</v>
      </c>
      <c r="D709" s="43" t="s">
        <v>5</v>
      </c>
      <c r="E709" s="44" t="str">
        <f>(E$1049)</f>
        <v>CIDA</v>
      </c>
      <c r="F709" s="45"/>
      <c r="G709" s="21">
        <f>IF($E$1149=1,($L709),IF($E$1149=2,($M709),IF($E$1149=3,($N709),IF($E$1149=4,($O709),IF($E$1149=5,($P709),IF($E$1149=6,($Q709),IF($E$1149=7,($R709),IF($E$1149=8,($S709),0))))))))</f>
        <v>2402307.79</v>
      </c>
      <c r="H709" s="48">
        <f>IF($G$1049&lt;&gt;0,($G709)*(H$1049/$G$1049),0)</f>
        <v>2402307.79</v>
      </c>
      <c r="I709" s="48">
        <f>IF($G$1049&lt;&gt;0,($G709)*(I$1049/$G$1049),0)</f>
        <v>0</v>
      </c>
      <c r="J709" s="20">
        <f t="shared" ref="J709:J710" si="257">IF($E$1149=1,($G709),IF($E$1149=2,($G709),IF($E$1149=3,0,IF($E$1149=4,($H709),IF($E$1149=5,($I709),0)))))</f>
        <v>0</v>
      </c>
      <c r="L709" s="21">
        <v>2402307.79</v>
      </c>
      <c r="M709" s="21">
        <v>2402307.79</v>
      </c>
      <c r="N709" s="21">
        <v>2402307.79</v>
      </c>
      <c r="O709" s="21">
        <v>2402307.79</v>
      </c>
      <c r="P709" s="21">
        <v>2402307.79</v>
      </c>
      <c r="Q709" s="21">
        <v>2402307.79</v>
      </c>
      <c r="R709" s="21">
        <v>2402307.79</v>
      </c>
      <c r="S709" s="21">
        <v>2402307.79</v>
      </c>
    </row>
    <row r="710" spans="1:19" x14ac:dyDescent="0.2">
      <c r="A710" s="13">
        <f t="shared" si="256"/>
        <v>710</v>
      </c>
      <c r="B710" s="4" t="s">
        <v>5</v>
      </c>
      <c r="C710" s="4" t="s">
        <v>418</v>
      </c>
      <c r="D710" s="43" t="s">
        <v>5</v>
      </c>
      <c r="E710" s="44" t="str">
        <f>(E$1050)</f>
        <v>CODA</v>
      </c>
      <c r="F710" s="45"/>
      <c r="G710" s="21">
        <f>IF($E$1149=1,($L710),IF($E$1149=2,($M710),IF($E$1149=3,($N710),IF($E$1149=4,($O710),IF($E$1149=5,($P710),IF($E$1149=6,($Q710),IF($E$1149=7,($R710),IF($E$1149=8,($S710),0))))))))</f>
        <v>235244.22</v>
      </c>
      <c r="H710" s="48">
        <f>IF($G$1050&lt;&gt;0,($G710)*(H$1050/$G$1050),0)</f>
        <v>0</v>
      </c>
      <c r="I710" s="48">
        <f>IF($G$1050&lt;&gt;0,($G710)*(I$1050/$G$1050),0)</f>
        <v>235244.22</v>
      </c>
      <c r="J710" s="20">
        <f t="shared" si="257"/>
        <v>0</v>
      </c>
      <c r="L710" s="21">
        <v>235244.22</v>
      </c>
      <c r="M710" s="21">
        <v>235244.22</v>
      </c>
      <c r="N710" s="21">
        <v>235244.22</v>
      </c>
      <c r="O710" s="21">
        <v>235244.22</v>
      </c>
      <c r="P710" s="21">
        <v>235244.22</v>
      </c>
      <c r="Q710" s="21">
        <v>235244.22</v>
      </c>
      <c r="R710" s="21">
        <v>235244.22</v>
      </c>
      <c r="S710" s="21">
        <v>235244.22</v>
      </c>
    </row>
    <row r="711" spans="1:19" x14ac:dyDescent="0.2">
      <c r="A711" s="13">
        <f t="shared" si="256"/>
        <v>711</v>
      </c>
      <c r="B711" s="4" t="s">
        <v>5</v>
      </c>
      <c r="C711" s="4" t="s">
        <v>5</v>
      </c>
      <c r="D711" s="43" t="s">
        <v>5</v>
      </c>
      <c r="E711" s="44" t="s">
        <v>5</v>
      </c>
      <c r="F711" s="45"/>
      <c r="L711" s="21">
        <v>0</v>
      </c>
      <c r="M711" s="21">
        <v>0</v>
      </c>
      <c r="N711" s="21">
        <v>0</v>
      </c>
      <c r="O711" s="21">
        <v>0</v>
      </c>
      <c r="P711" s="21">
        <v>0</v>
      </c>
      <c r="Q711" s="21">
        <v>0</v>
      </c>
      <c r="R711" s="21">
        <v>0</v>
      </c>
      <c r="S711" s="21">
        <v>0</v>
      </c>
    </row>
    <row r="712" spans="1:19" x14ac:dyDescent="0.2">
      <c r="A712" s="13">
        <f t="shared" si="256"/>
        <v>712</v>
      </c>
      <c r="B712" s="4" t="s">
        <v>5</v>
      </c>
      <c r="C712" s="4" t="s">
        <v>419</v>
      </c>
      <c r="D712" s="43" t="s">
        <v>5</v>
      </c>
      <c r="E712" s="44" t="s">
        <v>5</v>
      </c>
      <c r="F712" s="45"/>
      <c r="L712" s="21">
        <v>0</v>
      </c>
      <c r="M712" s="21">
        <v>0</v>
      </c>
      <c r="N712" s="21">
        <v>0</v>
      </c>
      <c r="O712" s="21">
        <v>0</v>
      </c>
      <c r="P712" s="21">
        <v>0</v>
      </c>
      <c r="Q712" s="21">
        <v>0</v>
      </c>
      <c r="R712" s="21">
        <v>0</v>
      </c>
      <c r="S712" s="21">
        <v>0</v>
      </c>
    </row>
    <row r="713" spans="1:19" x14ac:dyDescent="0.2">
      <c r="A713" s="13">
        <f t="shared" si="256"/>
        <v>713</v>
      </c>
      <c r="B713" s="4" t="s">
        <v>5</v>
      </c>
      <c r="C713" s="4" t="s">
        <v>418</v>
      </c>
      <c r="D713" s="43" t="s">
        <v>5</v>
      </c>
      <c r="E713" s="44" t="str">
        <f>(E$1050)</f>
        <v>CODA</v>
      </c>
      <c r="F713" s="45"/>
      <c r="G713" s="21">
        <f>IF($E$1149=1,($L713),IF($E$1149=2,($M713),IF($E$1149=3,($N713),IF($E$1149=4,($O713),IF($E$1149=5,($P713),IF($E$1149=6,($Q713),IF($E$1149=7,($R713),IF($E$1149=8,($S713),0))))))))</f>
        <v>821549</v>
      </c>
      <c r="H713" s="48">
        <f>IF($G$1050&lt;&gt;0,($G713)*(H$1050/$G$1050),0)</f>
        <v>0</v>
      </c>
      <c r="I713" s="48">
        <f>IF($G$1050&lt;&gt;0,($G713)*(I$1050/$G$1050),0)</f>
        <v>821549</v>
      </c>
      <c r="J713" s="20">
        <f t="shared" ref="J713" si="258">IF($E$1149=1,($G713),IF($E$1149=2,($G713),IF($E$1149=3,0,IF($E$1149=4,($H713),IF($E$1149=5,($I713),0)))))</f>
        <v>0</v>
      </c>
      <c r="L713" s="21">
        <v>821549</v>
      </c>
      <c r="M713" s="21">
        <v>821549</v>
      </c>
      <c r="N713" s="21">
        <v>821549</v>
      </c>
      <c r="O713" s="21">
        <v>821549</v>
      </c>
      <c r="P713" s="21">
        <v>821549</v>
      </c>
      <c r="Q713" s="21">
        <v>821549</v>
      </c>
      <c r="R713" s="21">
        <v>821549</v>
      </c>
      <c r="S713" s="21">
        <v>821549</v>
      </c>
    </row>
    <row r="714" spans="1:19" x14ac:dyDescent="0.2">
      <c r="A714" s="13">
        <f t="shared" si="256"/>
        <v>714</v>
      </c>
      <c r="B714" s="4" t="s">
        <v>5</v>
      </c>
      <c r="C714" s="4" t="s">
        <v>5</v>
      </c>
      <c r="D714" s="43" t="s">
        <v>5</v>
      </c>
      <c r="E714" s="44" t="s">
        <v>5</v>
      </c>
      <c r="F714" s="45"/>
      <c r="L714" s="21">
        <v>0</v>
      </c>
      <c r="M714" s="21">
        <v>0</v>
      </c>
      <c r="N714" s="21">
        <v>0</v>
      </c>
      <c r="O714" s="21">
        <v>0</v>
      </c>
      <c r="P714" s="21">
        <v>0</v>
      </c>
      <c r="Q714" s="21">
        <v>0</v>
      </c>
      <c r="R714" s="21">
        <v>0</v>
      </c>
      <c r="S714" s="21">
        <v>0</v>
      </c>
    </row>
    <row r="715" spans="1:19" x14ac:dyDescent="0.2">
      <c r="A715" s="13">
        <f t="shared" si="256"/>
        <v>715</v>
      </c>
      <c r="B715" s="4" t="s">
        <v>5</v>
      </c>
      <c r="C715" s="4" t="s">
        <v>420</v>
      </c>
      <c r="D715" s="43" t="s">
        <v>5</v>
      </c>
      <c r="E715" s="44" t="s">
        <v>5</v>
      </c>
      <c r="F715" s="45"/>
      <c r="L715" s="21">
        <v>0</v>
      </c>
      <c r="M715" s="21">
        <v>0</v>
      </c>
      <c r="N715" s="21">
        <v>0</v>
      </c>
      <c r="O715" s="21">
        <v>0</v>
      </c>
      <c r="P715" s="21">
        <v>0</v>
      </c>
      <c r="Q715" s="21">
        <v>0</v>
      </c>
      <c r="R715" s="21">
        <v>0</v>
      </c>
      <c r="S715" s="21">
        <v>0</v>
      </c>
    </row>
    <row r="716" spans="1:19" x14ac:dyDescent="0.2">
      <c r="A716" s="13">
        <f t="shared" si="256"/>
        <v>716</v>
      </c>
      <c r="B716" s="4" t="s">
        <v>5</v>
      </c>
      <c r="C716" s="4" t="s">
        <v>421</v>
      </c>
      <c r="D716" s="43"/>
      <c r="E716" s="44" t="str">
        <f>$E$1062</f>
        <v>LABOR</v>
      </c>
      <c r="F716" s="45"/>
      <c r="G716" s="21">
        <f>IF($E$1149=1,($L716),IF($E$1149=2,($M716),IF($E$1149=3,($N716),IF($E$1149=4,($O716),IF($E$1149=5,($P716),IF($E$1149=6,($Q716),IF($E$1149=7,($R716),IF($E$1149=8,($S716),0))))))))</f>
        <v>0</v>
      </c>
      <c r="H716" s="48">
        <f>IF($G$1062&lt;&gt;0,($G716)*(H$1062/$G$1062),0)</f>
        <v>0</v>
      </c>
      <c r="I716" s="48">
        <f>IF($G$1062&lt;&gt;0,($G716)*(I$1062/$G$1062),0)</f>
        <v>0</v>
      </c>
      <c r="J716" s="20">
        <f t="shared" ref="J716:J720" si="259">IF($E$1149=1,($G716),IF($E$1149=2,($G716),IF($E$1149=3,0,IF($E$1149=4,($H716),IF($E$1149=5,($I716),0)))))</f>
        <v>0</v>
      </c>
      <c r="L716" s="21">
        <v>216561</v>
      </c>
      <c r="M716" s="21">
        <v>0</v>
      </c>
      <c r="N716" s="21">
        <v>0</v>
      </c>
      <c r="O716" s="21">
        <v>0</v>
      </c>
      <c r="P716" s="21">
        <v>216561</v>
      </c>
      <c r="Q716" s="21">
        <v>216561</v>
      </c>
      <c r="R716" s="21">
        <v>0</v>
      </c>
      <c r="S716" s="21">
        <v>0</v>
      </c>
    </row>
    <row r="717" spans="1:19" x14ac:dyDescent="0.2">
      <c r="A717" s="13">
        <f t="shared" si="256"/>
        <v>717</v>
      </c>
      <c r="B717" s="4" t="s">
        <v>5</v>
      </c>
      <c r="C717" s="4" t="s">
        <v>422</v>
      </c>
      <c r="D717" s="43" t="s">
        <v>5</v>
      </c>
      <c r="E717" s="44" t="str">
        <f>(E$1010)</f>
        <v>E10</v>
      </c>
      <c r="F717" s="45"/>
      <c r="G717" s="21">
        <f>IF($E$1149=1,($L717),IF($E$1149=2,($M717),IF($E$1149=3,($N717),IF($E$1149=4,($O717),IF($E$1149=5,($P717),IF($E$1149=6,($Q717),IF($E$1149=7,($R717),IF($E$1149=8,($S717),0))))))))</f>
        <v>1791804</v>
      </c>
      <c r="H717" s="48">
        <f>IF($G$1010&lt;&gt;0,($G717)*(H$1010/$G$1010),0)</f>
        <v>1712637.340838013</v>
      </c>
      <c r="I717" s="48">
        <f>IF($G$1010&lt;&gt;0,($G717)*(I$1010/$G$1010),0)</f>
        <v>79166.659161987132</v>
      </c>
      <c r="J717" s="20">
        <f t="shared" si="259"/>
        <v>0</v>
      </c>
      <c r="L717" s="21">
        <v>1111833.23</v>
      </c>
      <c r="M717" s="21">
        <v>1111833.23</v>
      </c>
      <c r="N717" s="21">
        <v>1111833.23</v>
      </c>
      <c r="O717" s="21">
        <v>1111833.23</v>
      </c>
      <c r="P717" s="21">
        <v>1111833.23</v>
      </c>
      <c r="Q717" s="21">
        <v>1111833.23</v>
      </c>
      <c r="R717" s="21">
        <v>1791804</v>
      </c>
      <c r="S717" s="21">
        <v>1111833.23</v>
      </c>
    </row>
    <row r="718" spans="1:19" x14ac:dyDescent="0.2">
      <c r="A718" s="13">
        <f t="shared" si="256"/>
        <v>718</v>
      </c>
      <c r="B718" s="4" t="s">
        <v>5</v>
      </c>
      <c r="C718" s="4" t="s">
        <v>423</v>
      </c>
      <c r="D718" s="43" t="s">
        <v>5</v>
      </c>
      <c r="E718" s="44" t="str">
        <f>(E$1010)</f>
        <v>E10</v>
      </c>
      <c r="F718" s="45"/>
      <c r="G718" s="21">
        <f>IF($E$1149=1,($L718),IF($E$1149=2,($M718),IF($E$1149=3,($N718),IF($E$1149=4,($O718),IF($E$1149=5,($P718),IF($E$1149=6,($Q718),IF($E$1149=7,($R718),IF($E$1149=8,($S718),0))))))))</f>
        <v>339867</v>
      </c>
      <c r="H718" s="48">
        <f>IF($G$1010&lt;&gt;0,($G718)*(H$1010/$G$1010),0)</f>
        <v>324850.7733650516</v>
      </c>
      <c r="I718" s="48">
        <f>IF($G$1010&lt;&gt;0,($G718)*(I$1010/$G$1010),0)</f>
        <v>15016.226634948398</v>
      </c>
      <c r="J718" s="20">
        <f t="shared" si="259"/>
        <v>0</v>
      </c>
      <c r="L718" s="21">
        <v>198513.58000000002</v>
      </c>
      <c r="M718" s="21">
        <v>198513.58000000002</v>
      </c>
      <c r="N718" s="21">
        <v>198513.58000000002</v>
      </c>
      <c r="O718" s="21">
        <v>198513.58000000002</v>
      </c>
      <c r="P718" s="21">
        <v>198513.58000000002</v>
      </c>
      <c r="Q718" s="21">
        <v>198513.58000000002</v>
      </c>
      <c r="R718" s="21">
        <v>339867</v>
      </c>
      <c r="S718" s="21">
        <v>198513.58000000002</v>
      </c>
    </row>
    <row r="719" spans="1:19" x14ac:dyDescent="0.2">
      <c r="A719" s="13">
        <f t="shared" si="256"/>
        <v>719</v>
      </c>
      <c r="B719" s="4" t="s">
        <v>5</v>
      </c>
      <c r="C719" s="4" t="s">
        <v>5</v>
      </c>
      <c r="D719" s="43" t="s">
        <v>5</v>
      </c>
      <c r="E719" s="44" t="s">
        <v>5</v>
      </c>
      <c r="F719" s="45"/>
      <c r="L719" s="21">
        <v>0</v>
      </c>
      <c r="M719" s="21">
        <v>0</v>
      </c>
      <c r="N719" s="21">
        <v>0</v>
      </c>
      <c r="O719" s="21">
        <v>0</v>
      </c>
      <c r="P719" s="21">
        <v>0</v>
      </c>
      <c r="Q719" s="21">
        <v>0</v>
      </c>
      <c r="R719" s="21">
        <v>0</v>
      </c>
      <c r="S719" s="21">
        <v>0</v>
      </c>
    </row>
    <row r="720" spans="1:19" x14ac:dyDescent="0.2">
      <c r="A720" s="13">
        <f t="shared" si="256"/>
        <v>720</v>
      </c>
      <c r="B720" s="4"/>
      <c r="C720" s="4" t="s">
        <v>520</v>
      </c>
      <c r="D720" s="43"/>
      <c r="E720" s="44" t="str">
        <f>(E$1010)</f>
        <v>E10</v>
      </c>
      <c r="F720" s="45"/>
      <c r="G720" s="21">
        <f>IF($E$1149=1,($L720),IF($E$1149=2,($M720),IF($E$1149=3,($N720),IF($E$1149=4,($O720),IF($E$1149=5,($P720),IF($E$1149=6,($Q720),IF($E$1149=7,($R720),IF($E$1149=8,($S720),0))))))))</f>
        <v>0</v>
      </c>
      <c r="H720" s="48">
        <f>IF($G$1010&lt;&gt;0,($G720)*(H$1010/$G$1010),0)</f>
        <v>0</v>
      </c>
      <c r="I720" s="48">
        <f>IF($G$1010&lt;&gt;0,($G720)*(I$1010/$G$1010),0)</f>
        <v>0</v>
      </c>
      <c r="J720" s="20">
        <f t="shared" si="259"/>
        <v>0</v>
      </c>
      <c r="L720" s="21">
        <v>0</v>
      </c>
      <c r="M720" s="21">
        <v>0</v>
      </c>
      <c r="N720" s="21">
        <v>0</v>
      </c>
      <c r="O720" s="21">
        <v>0</v>
      </c>
      <c r="P720" s="21">
        <v>0</v>
      </c>
      <c r="Q720" s="21">
        <v>0</v>
      </c>
      <c r="R720" s="21">
        <v>0</v>
      </c>
      <c r="S720" s="21">
        <v>0</v>
      </c>
    </row>
    <row r="721" spans="1:19" x14ac:dyDescent="0.2">
      <c r="A721" s="13">
        <f t="shared" si="256"/>
        <v>721</v>
      </c>
      <c r="B721" s="4"/>
      <c r="C721" s="4"/>
      <c r="D721" s="43"/>
      <c r="E721" s="44"/>
      <c r="F721" s="45"/>
    </row>
    <row r="722" spans="1:19" x14ac:dyDescent="0.2">
      <c r="A722" s="13">
        <f t="shared" si="256"/>
        <v>722</v>
      </c>
      <c r="B722" s="4" t="s">
        <v>5</v>
      </c>
      <c r="C722" s="4" t="s">
        <v>424</v>
      </c>
      <c r="D722" s="43" t="s">
        <v>5</v>
      </c>
      <c r="E722" s="44" t="s">
        <v>5</v>
      </c>
      <c r="F722" s="45"/>
      <c r="G722" s="46">
        <f>IF(ROUND(SUM(G691:G693,G704:G720),0)=ROUND(SUM(H722:I722),0),SUM(G691:G693,G704:G720),"      WRONG")</f>
        <v>31768584.580000002</v>
      </c>
      <c r="H722" s="46">
        <f>SUM(H691:H693,H704:H720)</f>
        <v>29549207.926588491</v>
      </c>
      <c r="I722" s="46">
        <f>SUM(I691:I693,I704:I720)</f>
        <v>2219376.6534115127</v>
      </c>
      <c r="J722" s="20">
        <f t="shared" ref="J722" si="260">IF($E$1149=1,($G722),IF($E$1149=2,($G722),IF($E$1149=3,0,IF($E$1149=4,($H722),IF($E$1149=5,($I722),0)))))</f>
        <v>0</v>
      </c>
      <c r="L722" s="21">
        <v>0</v>
      </c>
      <c r="M722" s="21">
        <v>0</v>
      </c>
      <c r="N722" s="21">
        <v>0</v>
      </c>
      <c r="O722" s="21">
        <v>0</v>
      </c>
      <c r="P722" s="21">
        <v>0</v>
      </c>
      <c r="Q722" s="21">
        <v>0</v>
      </c>
      <c r="R722" s="21">
        <v>0</v>
      </c>
      <c r="S722" s="21">
        <v>0</v>
      </c>
    </row>
    <row r="723" spans="1:19" x14ac:dyDescent="0.2">
      <c r="A723" s="13">
        <f t="shared" si="256"/>
        <v>723</v>
      </c>
      <c r="B723" s="4" t="s">
        <v>35</v>
      </c>
      <c r="C723" s="4" t="s">
        <v>35</v>
      </c>
      <c r="D723" s="43" t="s">
        <v>5</v>
      </c>
      <c r="E723" s="44" t="s">
        <v>5</v>
      </c>
      <c r="F723" s="45"/>
      <c r="G723" s="42" t="str">
        <f>IF(ROUND(G722,0)=ROUND(SUM(H722:I722),0)," ","L 1079 TAXES OTHER THAN INCOME ARE WRONG")</f>
        <v xml:space="preserve"> </v>
      </c>
      <c r="L723" s="21">
        <v>0</v>
      </c>
      <c r="M723" s="21">
        <v>0</v>
      </c>
      <c r="N723" s="21">
        <v>0</v>
      </c>
      <c r="O723" s="21">
        <v>0</v>
      </c>
      <c r="P723" s="21">
        <v>0</v>
      </c>
      <c r="Q723" s="21">
        <v>0</v>
      </c>
      <c r="R723" s="21">
        <v>0</v>
      </c>
      <c r="S723" s="21">
        <v>0</v>
      </c>
    </row>
    <row r="724" spans="1:19" x14ac:dyDescent="0.2">
      <c r="A724" s="13">
        <f t="shared" si="256"/>
        <v>724</v>
      </c>
      <c r="B724" s="4" t="s">
        <v>35</v>
      </c>
      <c r="C724" s="4" t="s">
        <v>35</v>
      </c>
      <c r="D724" s="43"/>
      <c r="E724" s="44"/>
      <c r="F724" s="45"/>
      <c r="L724" s="21">
        <v>0</v>
      </c>
      <c r="M724" s="21">
        <v>0</v>
      </c>
      <c r="N724" s="21">
        <v>0</v>
      </c>
      <c r="O724" s="21">
        <v>0</v>
      </c>
      <c r="P724" s="21">
        <v>0</v>
      </c>
      <c r="Q724" s="21">
        <v>0</v>
      </c>
      <c r="R724" s="21">
        <v>0</v>
      </c>
      <c r="S724" s="21">
        <v>0</v>
      </c>
    </row>
    <row r="725" spans="1:19" x14ac:dyDescent="0.2">
      <c r="A725" s="13">
        <f t="shared" si="256"/>
        <v>725</v>
      </c>
      <c r="B725" s="38" t="str">
        <f>"* * * TABLE 8 - REGULATORY DEBITS/CREDITS * * *"</f>
        <v>* * * TABLE 8 - REGULATORY DEBITS/CREDITS * * *</v>
      </c>
      <c r="C725" s="4"/>
      <c r="D725" s="43"/>
      <c r="E725" s="44"/>
      <c r="F725" s="45"/>
      <c r="L725" s="21">
        <v>0</v>
      </c>
      <c r="M725" s="21">
        <v>0</v>
      </c>
      <c r="N725" s="21">
        <v>0</v>
      </c>
      <c r="O725" s="21">
        <v>0</v>
      </c>
      <c r="P725" s="21">
        <v>0</v>
      </c>
      <c r="Q725" s="21">
        <v>0</v>
      </c>
      <c r="R725" s="21">
        <v>0</v>
      </c>
      <c r="S725" s="21">
        <v>0</v>
      </c>
    </row>
    <row r="726" spans="1:19" x14ac:dyDescent="0.2">
      <c r="A726" s="13">
        <f t="shared" si="256"/>
        <v>726</v>
      </c>
      <c r="B726" s="4" t="s">
        <v>425</v>
      </c>
      <c r="C726" s="4"/>
      <c r="D726" s="43"/>
      <c r="E726" s="44"/>
      <c r="F726" s="45"/>
      <c r="L726" s="21">
        <v>0</v>
      </c>
      <c r="M726" s="21">
        <v>0</v>
      </c>
      <c r="N726" s="21">
        <v>0</v>
      </c>
      <c r="O726" s="21">
        <v>0</v>
      </c>
      <c r="P726" s="21">
        <v>0</v>
      </c>
      <c r="Q726" s="21">
        <v>0</v>
      </c>
      <c r="R726" s="21">
        <v>0</v>
      </c>
      <c r="S726" s="21">
        <v>0</v>
      </c>
    </row>
    <row r="727" spans="1:19" x14ac:dyDescent="0.2">
      <c r="A727" s="13">
        <f t="shared" si="256"/>
        <v>727</v>
      </c>
      <c r="B727" s="4" t="s">
        <v>5</v>
      </c>
      <c r="C727" s="4" t="s">
        <v>417</v>
      </c>
      <c r="D727" s="43" t="s">
        <v>5</v>
      </c>
      <c r="E727" s="44" t="str">
        <f>(E$1049)</f>
        <v>CIDA</v>
      </c>
      <c r="F727" s="45"/>
      <c r="G727" s="21">
        <f>IF($E$1149=1,($L727),IF($E$1149=2,($M727),IF($E$1149=3,($N727),IF($E$1149=4,($O727),IF($E$1149=5,($P727),IF($E$1149=6,($Q727),IF($E$1149=7,($R727),IF($E$1149=8,($S727),0))))))))</f>
        <v>1219115</v>
      </c>
      <c r="H727" s="48">
        <f>IF($G$1049&lt;&gt;0,($G727)*(H$1049/$G$1049),0)</f>
        <v>1219115</v>
      </c>
      <c r="I727" s="48">
        <f>IF($G$1049&lt;&gt;0,($G727)*(I$1049/$G$1049),0)</f>
        <v>0</v>
      </c>
      <c r="J727" s="20">
        <f t="shared" ref="J727:J728" si="261">IF($E$1149=1,($G727),IF($E$1149=2,($G727),IF($E$1149=3,0,IF($E$1149=4,($H727),IF($E$1149=5,($I727),0)))))</f>
        <v>0</v>
      </c>
      <c r="L727" s="21">
        <v>1219115</v>
      </c>
      <c r="M727" s="21">
        <v>1219115</v>
      </c>
      <c r="N727" s="21">
        <v>1219115</v>
      </c>
      <c r="O727" s="21">
        <v>1219115</v>
      </c>
      <c r="P727" s="21">
        <v>1219115</v>
      </c>
      <c r="Q727" s="21">
        <v>1219115</v>
      </c>
      <c r="R727" s="21">
        <v>1219115</v>
      </c>
      <c r="S727" s="21">
        <v>1219115</v>
      </c>
    </row>
    <row r="728" spans="1:19" x14ac:dyDescent="0.2">
      <c r="A728" s="13">
        <f t="shared" si="256"/>
        <v>728</v>
      </c>
      <c r="B728" s="4" t="s">
        <v>5</v>
      </c>
      <c r="C728" s="4" t="s">
        <v>418</v>
      </c>
      <c r="D728" s="43" t="s">
        <v>5</v>
      </c>
      <c r="E728" s="44" t="str">
        <f>(E$1050)</f>
        <v>CODA</v>
      </c>
      <c r="F728" s="45"/>
      <c r="G728" s="21">
        <f>IF($E$1149=1,($L728),IF($E$1149=2,($M728),IF($E$1149=3,($N728),IF($E$1149=4,($O728),IF($E$1149=5,($P728),IF($E$1149=6,($Q728),IF($E$1149=7,($R728),IF($E$1149=8,($S728),0))))))))</f>
        <v>278660</v>
      </c>
      <c r="H728" s="48">
        <f>IF($G$1050&lt;&gt;0,($G728)*(H$1050/$G$1050),0)</f>
        <v>0</v>
      </c>
      <c r="I728" s="48">
        <f>IF($G$1050&lt;&gt;0,($G728)*(I$1050/$G$1050),0)</f>
        <v>278660</v>
      </c>
      <c r="J728" s="20">
        <f t="shared" si="261"/>
        <v>0</v>
      </c>
      <c r="L728" s="21">
        <v>278660</v>
      </c>
      <c r="M728" s="21">
        <v>278660</v>
      </c>
      <c r="N728" s="21">
        <v>278660</v>
      </c>
      <c r="O728" s="21">
        <v>278660</v>
      </c>
      <c r="P728" s="21">
        <v>278660</v>
      </c>
      <c r="Q728" s="21">
        <v>278660</v>
      </c>
      <c r="R728" s="21">
        <v>278660</v>
      </c>
      <c r="S728" s="21">
        <v>278660</v>
      </c>
    </row>
    <row r="729" spans="1:19" x14ac:dyDescent="0.2">
      <c r="A729" s="13">
        <f t="shared" si="256"/>
        <v>729</v>
      </c>
      <c r="B729" s="38"/>
      <c r="C729" s="4"/>
      <c r="D729" s="43"/>
      <c r="E729" s="44"/>
      <c r="F729" s="45"/>
    </row>
    <row r="730" spans="1:19" x14ac:dyDescent="0.2">
      <c r="A730" s="13">
        <f t="shared" si="256"/>
        <v>730</v>
      </c>
      <c r="B730" s="38"/>
      <c r="C730" s="4" t="s">
        <v>426</v>
      </c>
      <c r="D730" s="43"/>
      <c r="E730" s="44"/>
      <c r="F730" s="45"/>
      <c r="G730" s="46">
        <f>IF(ROUND(SUM(G727:G728),0)=ROUND(SUM(H730:I730),0),SUM(G727:G728),"      WRONG")</f>
        <v>1497775</v>
      </c>
      <c r="H730" s="46">
        <f t="shared" ref="H730:I730" si="262">SUM(H727:H729)</f>
        <v>1219115</v>
      </c>
      <c r="I730" s="46">
        <f t="shared" si="262"/>
        <v>278660</v>
      </c>
      <c r="J730" s="20">
        <f t="shared" ref="J730" si="263">IF($E$1149=1,($G730),IF($E$1149=2,($G730),IF($E$1149=3,0,IF($E$1149=4,($H730),IF($E$1149=5,($I730),0)))))</f>
        <v>0</v>
      </c>
      <c r="L730" s="21">
        <v>1497775</v>
      </c>
      <c r="M730" s="21">
        <v>1497775</v>
      </c>
      <c r="N730" s="21">
        <v>1497775</v>
      </c>
      <c r="O730" s="21">
        <v>1497775</v>
      </c>
      <c r="P730" s="21">
        <v>1497775</v>
      </c>
      <c r="Q730" s="21">
        <v>1497775</v>
      </c>
      <c r="R730" s="21">
        <v>1497775</v>
      </c>
      <c r="S730" s="21">
        <v>1497775</v>
      </c>
    </row>
    <row r="731" spans="1:19" x14ac:dyDescent="0.2">
      <c r="A731" s="13">
        <f t="shared" si="256"/>
        <v>731</v>
      </c>
      <c r="B731" s="38"/>
      <c r="C731" s="4"/>
      <c r="D731" s="43"/>
      <c r="E731" s="44"/>
      <c r="F731" s="45"/>
    </row>
    <row r="732" spans="1:19" x14ac:dyDescent="0.2">
      <c r="A732" s="13">
        <f t="shared" si="256"/>
        <v>732</v>
      </c>
      <c r="B732" s="38"/>
      <c r="C732" s="4"/>
      <c r="D732" s="43"/>
      <c r="E732" s="44"/>
      <c r="F732" s="45"/>
    </row>
    <row r="733" spans="1:19" x14ac:dyDescent="0.2">
      <c r="A733" s="13">
        <f t="shared" si="256"/>
        <v>733</v>
      </c>
      <c r="B733" s="38" t="str">
        <f>"* * * TABLE 9 - INCOME TAXES * * *"</f>
        <v>* * * TABLE 9 - INCOME TAXES * * *</v>
      </c>
      <c r="C733" s="4"/>
      <c r="D733" s="43"/>
      <c r="E733" s="44"/>
      <c r="F733" s="45"/>
    </row>
    <row r="734" spans="1:19" x14ac:dyDescent="0.2">
      <c r="A734" s="13">
        <f t="shared" si="256"/>
        <v>734</v>
      </c>
      <c r="B734" s="4"/>
      <c r="C734" s="4"/>
      <c r="D734" s="43"/>
      <c r="E734" s="44"/>
      <c r="F734" s="45"/>
    </row>
    <row r="735" spans="1:19" x14ac:dyDescent="0.2">
      <c r="A735" s="13">
        <f t="shared" si="256"/>
        <v>735</v>
      </c>
      <c r="B735" s="3" t="s">
        <v>427</v>
      </c>
      <c r="C735" s="3"/>
      <c r="D735" s="43"/>
      <c r="E735" s="44"/>
      <c r="F735" s="45"/>
    </row>
    <row r="736" spans="1:19" x14ac:dyDescent="0.2">
      <c r="A736" s="13">
        <f t="shared" si="256"/>
        <v>736</v>
      </c>
      <c r="B736" s="3" t="s">
        <v>428</v>
      </c>
      <c r="C736" s="3"/>
      <c r="D736" s="43"/>
      <c r="E736" s="44" t="str">
        <f>E1059</f>
        <v>P101P</v>
      </c>
      <c r="F736" s="45"/>
      <c r="G736" s="21">
        <f>IF($E$1149=1,($L736),IF($E$1149=2,($M736),IF($E$1149=3,($N736),IF($E$1149=4,($O736),IF($E$1149=5,($P736),IF($E$1149=6,($Q736),IF($E$1149=7,($R736),IF($E$1149=8,($S736),0))))))))</f>
        <v>-12032751.870000001</v>
      </c>
      <c r="H736" s="48">
        <f>IF($G$1059&lt;&gt;0,($G736)*(H$1059/$G$1059),0)</f>
        <v>-11542068.60784952</v>
      </c>
      <c r="I736" s="48">
        <f>IF($G$1059&lt;&gt;0,($G736)*(I$1059/$G$1059),0)</f>
        <v>-490683.26215048094</v>
      </c>
      <c r="L736" s="21">
        <v>-19410629.43</v>
      </c>
      <c r="M736" s="21">
        <v>-14344308.870000001</v>
      </c>
      <c r="N736" s="21">
        <v>-14344308.870000001</v>
      </c>
      <c r="O736" s="21">
        <v>-14344308.870000001</v>
      </c>
      <c r="P736" s="21">
        <v>-19410629.43</v>
      </c>
      <c r="Q736" s="21">
        <v>-14344308.870000001</v>
      </c>
      <c r="R736" s="21">
        <v>-12032751.870000001</v>
      </c>
      <c r="S736" s="21">
        <v>-14344308.870000001</v>
      </c>
    </row>
    <row r="737" spans="1:19" x14ac:dyDescent="0.2">
      <c r="A737" s="13">
        <f t="shared" si="256"/>
        <v>737</v>
      </c>
      <c r="B737" s="3" t="s">
        <v>429</v>
      </c>
      <c r="C737" s="3"/>
      <c r="D737" s="43" t="s">
        <v>508</v>
      </c>
      <c r="E737" s="44">
        <f>A766</f>
        <v>766</v>
      </c>
      <c r="F737" s="45"/>
      <c r="G737" s="21">
        <f>IF($E$1149=1,($L737),IF($E$1149=2,($M737),IF($E$1149=3,($N737),IF($E$1149=4,($O737),IF($E$1149=5,($P737),IF($E$1149=6,($Q737),IF($E$1149=7,($R737),IF($E$1149=8,($S737),0))))))))</f>
        <v>3950706.96</v>
      </c>
      <c r="H737" s="48">
        <f>IF($G$766&lt;&gt;0,($G737)*(H$766/$G$766),0)</f>
        <v>3745731.389146925</v>
      </c>
      <c r="I737" s="48">
        <f>IF($G$766&lt;&gt;0,($G737)*(I$766/$G$766),0)</f>
        <v>204975.57085307507</v>
      </c>
      <c r="L737" s="21">
        <v>-2295682.3800000018</v>
      </c>
      <c r="M737" s="21">
        <v>3950706.96</v>
      </c>
      <c r="N737" s="21">
        <v>3950706.96</v>
      </c>
      <c r="O737" s="21">
        <v>3950706.96</v>
      </c>
      <c r="P737" s="21">
        <v>-2295682.3800000018</v>
      </c>
      <c r="Q737" s="21">
        <v>3950706.96</v>
      </c>
      <c r="R737" s="21">
        <v>3950706.96</v>
      </c>
      <c r="S737" s="21">
        <v>3950706.96</v>
      </c>
    </row>
    <row r="738" spans="1:19" x14ac:dyDescent="0.2">
      <c r="A738" s="13">
        <f t="shared" si="256"/>
        <v>738</v>
      </c>
      <c r="B738" s="3"/>
      <c r="C738" s="3" t="s">
        <v>430</v>
      </c>
      <c r="D738" s="43"/>
      <c r="E738" s="44"/>
      <c r="F738" s="45"/>
      <c r="G738" s="21">
        <f>SUM(G736:G737)</f>
        <v>-8082044.9100000011</v>
      </c>
      <c r="H738" s="48">
        <f>SUM(H736:H737)</f>
        <v>-7796337.2187025947</v>
      </c>
      <c r="I738" s="48">
        <f t="shared" ref="I738" si="264">SUM(I736:I737)</f>
        <v>-285707.69129740587</v>
      </c>
      <c r="J738" s="20">
        <f t="shared" ref="J738" si="265">IF($E$1149=1,($G738),IF($E$1149=2,($G738),IF($E$1149=3,0,IF($E$1149=4,($H738),IF($E$1149=5,($I738),0)))))</f>
        <v>0</v>
      </c>
      <c r="L738" s="21">
        <v>-21706311.810000002</v>
      </c>
      <c r="M738" s="21">
        <v>-10393601.910000002</v>
      </c>
      <c r="N738" s="21">
        <v>-10393601.910000002</v>
      </c>
      <c r="O738" s="21">
        <v>-10393601.910000002</v>
      </c>
      <c r="P738" s="21">
        <v>-21706311.810000002</v>
      </c>
      <c r="Q738" s="21">
        <v>-10393601.910000002</v>
      </c>
      <c r="R738" s="21">
        <v>-8082044.910000002</v>
      </c>
      <c r="S738" s="21">
        <v>-10393601.910000002</v>
      </c>
    </row>
    <row r="739" spans="1:19" x14ac:dyDescent="0.2">
      <c r="A739" s="13">
        <f t="shared" si="256"/>
        <v>739</v>
      </c>
      <c r="B739" s="4"/>
      <c r="C739" s="4"/>
      <c r="D739" s="43" t="s">
        <v>5</v>
      </c>
      <c r="E739" s="44" t="s">
        <v>5</v>
      </c>
      <c r="F739" s="45"/>
      <c r="L739" s="21">
        <v>0</v>
      </c>
      <c r="M739" s="21">
        <v>0</v>
      </c>
      <c r="N739" s="21">
        <v>0</v>
      </c>
      <c r="O739" s="21">
        <v>0</v>
      </c>
      <c r="P739" s="21">
        <v>0</v>
      </c>
      <c r="Q739" s="21">
        <v>0</v>
      </c>
      <c r="R739" s="21">
        <v>0</v>
      </c>
      <c r="S739" s="21">
        <v>0</v>
      </c>
    </row>
    <row r="740" spans="1:19" x14ac:dyDescent="0.2">
      <c r="A740" s="13">
        <f t="shared" si="256"/>
        <v>740</v>
      </c>
      <c r="B740" s="4" t="s">
        <v>431</v>
      </c>
      <c r="C740" s="4"/>
      <c r="D740" s="43"/>
      <c r="E740" s="44" t="str">
        <f>E1059</f>
        <v>P101P</v>
      </c>
      <c r="F740" s="45"/>
      <c r="G740" s="21">
        <f>IF($E$1149=1,($L740),IF($E$1149=2,($M740),IF($E$1149=3,($N740),IF($E$1149=4,($O740),IF($E$1149=5,($P740),IF($E$1149=6,($Q740),IF($E$1149=7,($R740),IF($E$1149=8,($S740),0))))))))</f>
        <v>11502847</v>
      </c>
      <c r="H740" s="48">
        <f>IF($G$1059&lt;&gt;0,($G740)*(H$1059/$G$1059),0)</f>
        <v>11033772.714170994</v>
      </c>
      <c r="I740" s="48">
        <f>IF($G$1059&lt;&gt;0,($G740)*(I$1059/$G$1059),0)</f>
        <v>469074.28582900483</v>
      </c>
      <c r="J740" s="20">
        <f t="shared" ref="J740" si="266">IF($E$1149=1,($G740),IF($E$1149=2,($G740),IF($E$1149=3,0,IF($E$1149=4,($H740),IF($E$1149=5,($I740),0)))))</f>
        <v>0</v>
      </c>
      <c r="L740" s="21">
        <v>11832897</v>
      </c>
      <c r="M740" s="21">
        <v>11832897</v>
      </c>
      <c r="N740" s="21">
        <v>11832897</v>
      </c>
      <c r="O740" s="21">
        <v>11832897</v>
      </c>
      <c r="P740" s="21">
        <v>11832897</v>
      </c>
      <c r="Q740" s="21">
        <v>11832897</v>
      </c>
      <c r="R740" s="21">
        <v>11502847</v>
      </c>
      <c r="S740" s="21">
        <v>11832897</v>
      </c>
    </row>
    <row r="741" spans="1:19" x14ac:dyDescent="0.2">
      <c r="A741" s="13">
        <f t="shared" si="256"/>
        <v>741</v>
      </c>
      <c r="B741" s="4"/>
      <c r="C741" s="4"/>
      <c r="D741" s="43"/>
      <c r="E741" s="44"/>
      <c r="F741" s="45"/>
      <c r="L741" s="21">
        <v>0</v>
      </c>
      <c r="M741" s="21">
        <v>0</v>
      </c>
      <c r="N741" s="21">
        <v>0</v>
      </c>
      <c r="O741" s="21">
        <v>0</v>
      </c>
      <c r="P741" s="21">
        <v>0</v>
      </c>
      <c r="Q741" s="21">
        <v>0</v>
      </c>
      <c r="R741" s="21">
        <v>0</v>
      </c>
      <c r="S741" s="21">
        <v>0</v>
      </c>
    </row>
    <row r="742" spans="1:19" x14ac:dyDescent="0.2">
      <c r="A742" s="13">
        <f t="shared" si="256"/>
        <v>742</v>
      </c>
      <c r="B742" s="4" t="s">
        <v>432</v>
      </c>
      <c r="C742" s="4"/>
      <c r="D742" s="43"/>
      <c r="E742" s="44"/>
      <c r="F742" s="45"/>
      <c r="L742" s="21">
        <v>0</v>
      </c>
      <c r="M742" s="21">
        <v>0</v>
      </c>
      <c r="N742" s="21">
        <v>0</v>
      </c>
      <c r="O742" s="21">
        <v>0</v>
      </c>
      <c r="P742" s="21">
        <v>0</v>
      </c>
      <c r="Q742" s="21">
        <v>0</v>
      </c>
      <c r="R742" s="21">
        <v>0</v>
      </c>
      <c r="S742" s="21">
        <v>0</v>
      </c>
    </row>
    <row r="743" spans="1:19" x14ac:dyDescent="0.2">
      <c r="A743" s="13">
        <f t="shared" si="256"/>
        <v>743</v>
      </c>
      <c r="B743" s="4"/>
      <c r="C743" s="4"/>
      <c r="D743" s="43"/>
      <c r="E743" s="44"/>
      <c r="F743" s="45"/>
      <c r="L743" s="21">
        <v>0</v>
      </c>
      <c r="M743" s="21">
        <v>0</v>
      </c>
      <c r="N743" s="21">
        <v>0</v>
      </c>
      <c r="O743" s="21">
        <v>0</v>
      </c>
      <c r="P743" s="21">
        <v>0</v>
      </c>
      <c r="Q743" s="21">
        <v>0</v>
      </c>
      <c r="R743" s="21">
        <v>0</v>
      </c>
      <c r="S743" s="21">
        <v>0</v>
      </c>
    </row>
    <row r="744" spans="1:19" x14ac:dyDescent="0.2">
      <c r="A744" s="13">
        <f t="shared" si="256"/>
        <v>744</v>
      </c>
      <c r="B744" s="4" t="s">
        <v>433</v>
      </c>
      <c r="C744" s="4"/>
      <c r="D744" s="43" t="s">
        <v>508</v>
      </c>
      <c r="E744" s="44">
        <f>A783</f>
        <v>783</v>
      </c>
      <c r="F744" s="45"/>
      <c r="G744" s="42">
        <f>SUM(H744:I744)</f>
        <v>4948472.5408063969</v>
      </c>
      <c r="H744" s="48">
        <f>H792</f>
        <v>4538977.4670740031</v>
      </c>
      <c r="I744" s="48">
        <f t="shared" ref="I744" si="267">I792</f>
        <v>409495.07373239344</v>
      </c>
      <c r="J744" s="20">
        <f t="shared" ref="J744" si="268">IF($E$1149=1,($G744),IF($E$1149=2,($G744),IF($E$1149=3,0,IF($E$1149=4,($H744),IF($E$1149=5,($I744),0)))))</f>
        <v>0</v>
      </c>
      <c r="L744" s="21">
        <v>0</v>
      </c>
      <c r="M744" s="21">
        <v>0</v>
      </c>
      <c r="N744" s="21">
        <v>0</v>
      </c>
      <c r="O744" s="21">
        <v>0</v>
      </c>
      <c r="P744" s="21">
        <v>0</v>
      </c>
      <c r="Q744" s="21">
        <v>0</v>
      </c>
      <c r="R744" s="21">
        <v>0</v>
      </c>
      <c r="S744" s="21">
        <v>0</v>
      </c>
    </row>
    <row r="745" spans="1:19" x14ac:dyDescent="0.2">
      <c r="A745" s="13">
        <f t="shared" si="256"/>
        <v>745</v>
      </c>
      <c r="B745" s="4"/>
      <c r="C745" s="4"/>
      <c r="D745" s="43"/>
      <c r="E745" s="44"/>
      <c r="F745" s="45"/>
      <c r="G745" s="46"/>
      <c r="H745" s="46"/>
      <c r="I745" s="46"/>
      <c r="L745" s="21">
        <v>0</v>
      </c>
      <c r="M745" s="21">
        <v>0</v>
      </c>
      <c r="N745" s="21">
        <v>0</v>
      </c>
      <c r="O745" s="21">
        <v>0</v>
      </c>
      <c r="P745" s="21">
        <v>0</v>
      </c>
      <c r="Q745" s="21">
        <v>0</v>
      </c>
      <c r="R745" s="21">
        <v>0</v>
      </c>
      <c r="S745" s="21">
        <v>0</v>
      </c>
    </row>
    <row r="746" spans="1:19" x14ac:dyDescent="0.2">
      <c r="A746" s="13">
        <f t="shared" si="256"/>
        <v>746</v>
      </c>
      <c r="B746" s="4" t="s">
        <v>434</v>
      </c>
      <c r="C746" s="4"/>
      <c r="D746" s="43" t="s">
        <v>5</v>
      </c>
      <c r="E746" s="44" t="s">
        <v>5</v>
      </c>
      <c r="F746" s="45"/>
      <c r="L746" s="21">
        <v>0</v>
      </c>
      <c r="M746" s="21">
        <v>0</v>
      </c>
      <c r="N746" s="21">
        <v>0</v>
      </c>
      <c r="O746" s="21">
        <v>0</v>
      </c>
      <c r="P746" s="21">
        <v>0</v>
      </c>
      <c r="Q746" s="21">
        <v>0</v>
      </c>
      <c r="R746" s="21">
        <v>0</v>
      </c>
      <c r="S746" s="21">
        <v>0</v>
      </c>
    </row>
    <row r="747" spans="1:19" x14ac:dyDescent="0.2">
      <c r="A747" s="13">
        <f t="shared" si="256"/>
        <v>747</v>
      </c>
      <c r="B747" s="4" t="s">
        <v>5</v>
      </c>
      <c r="C747" s="4" t="s">
        <v>435</v>
      </c>
      <c r="D747" s="43" t="s">
        <v>508</v>
      </c>
      <c r="E747" s="44">
        <f>A848</f>
        <v>848</v>
      </c>
      <c r="F747" s="45"/>
      <c r="G747" s="42">
        <f>SUM(H747:I747)</f>
        <v>-2112636.8961255327</v>
      </c>
      <c r="H747" s="42">
        <f t="shared" ref="H747:I747" si="269">(H848)</f>
        <v>-2165607.8714310843</v>
      </c>
      <c r="I747" s="42">
        <f t="shared" si="269"/>
        <v>52970.975305551474</v>
      </c>
      <c r="J747" s="20">
        <f t="shared" ref="J747:J750" si="270">IF($E$1149=1,($G747),IF($E$1149=2,($G747),IF($E$1149=3,0,IF($E$1149=4,($H747),IF($E$1149=5,($I747),0)))))</f>
        <v>0</v>
      </c>
      <c r="L747" s="21">
        <v>0</v>
      </c>
      <c r="M747" s="21">
        <v>0</v>
      </c>
      <c r="N747" s="21">
        <v>0</v>
      </c>
      <c r="O747" s="21">
        <v>0</v>
      </c>
      <c r="P747" s="21">
        <v>0</v>
      </c>
      <c r="Q747" s="21">
        <v>0</v>
      </c>
      <c r="R747" s="21">
        <v>0</v>
      </c>
      <c r="S747" s="21">
        <v>0</v>
      </c>
    </row>
    <row r="748" spans="1:19" x14ac:dyDescent="0.2">
      <c r="A748" s="13">
        <f t="shared" si="256"/>
        <v>748</v>
      </c>
      <c r="B748" s="4" t="s">
        <v>5</v>
      </c>
      <c r="C748" s="4" t="s">
        <v>436</v>
      </c>
      <c r="D748" s="43" t="s">
        <v>508</v>
      </c>
      <c r="E748" s="44">
        <f>A823</f>
        <v>823</v>
      </c>
      <c r="F748" s="45"/>
      <c r="G748" s="42">
        <f>SUM(H748:I748)</f>
        <v>295759.27391517302</v>
      </c>
      <c r="H748" s="42">
        <f t="shared" ref="H748:I748" si="271">(H823)</f>
        <v>276879.21532919962</v>
      </c>
      <c r="I748" s="42">
        <f t="shared" si="271"/>
        <v>18880.058585973398</v>
      </c>
      <c r="J748" s="20">
        <f t="shared" si="270"/>
        <v>0</v>
      </c>
      <c r="L748" s="21">
        <v>0</v>
      </c>
      <c r="M748" s="21">
        <v>0</v>
      </c>
      <c r="N748" s="21">
        <v>0</v>
      </c>
      <c r="O748" s="21">
        <v>0</v>
      </c>
      <c r="P748" s="21">
        <v>0</v>
      </c>
      <c r="Q748" s="21">
        <v>0</v>
      </c>
      <c r="R748" s="21">
        <v>0</v>
      </c>
      <c r="S748" s="21">
        <v>0</v>
      </c>
    </row>
    <row r="749" spans="1:19" x14ac:dyDescent="0.2">
      <c r="A749" s="13">
        <f t="shared" si="256"/>
        <v>749</v>
      </c>
      <c r="B749" s="4" t="s">
        <v>5</v>
      </c>
      <c r="C749" s="4" t="s">
        <v>437</v>
      </c>
      <c r="D749" s="43" t="s">
        <v>508</v>
      </c>
      <c r="E749" s="44">
        <f>A864</f>
        <v>864</v>
      </c>
      <c r="F749" s="45"/>
      <c r="G749" s="42">
        <f>SUM(H749:I749)</f>
        <v>-102805.92910938454</v>
      </c>
      <c r="H749" s="42">
        <f t="shared" ref="H749:I749" si="272">(H864)</f>
        <v>-114137.24047282532</v>
      </c>
      <c r="I749" s="42">
        <f t="shared" si="272"/>
        <v>11331.31136344078</v>
      </c>
      <c r="J749" s="20">
        <f t="shared" si="270"/>
        <v>0</v>
      </c>
      <c r="L749" s="21">
        <v>0</v>
      </c>
      <c r="M749" s="21">
        <v>0</v>
      </c>
      <c r="N749" s="21">
        <v>0</v>
      </c>
      <c r="O749" s="21">
        <v>0</v>
      </c>
      <c r="P749" s="21">
        <v>0</v>
      </c>
      <c r="Q749" s="21">
        <v>0</v>
      </c>
      <c r="R749" s="21">
        <v>0</v>
      </c>
      <c r="S749" s="21">
        <v>0</v>
      </c>
    </row>
    <row r="750" spans="1:19" x14ac:dyDescent="0.2">
      <c r="A750" s="13">
        <f t="shared" si="256"/>
        <v>750</v>
      </c>
      <c r="B750" s="4" t="s">
        <v>5</v>
      </c>
      <c r="C750" s="4" t="s">
        <v>438</v>
      </c>
      <c r="D750" s="43" t="s">
        <v>5</v>
      </c>
      <c r="E750" s="44" t="s">
        <v>5</v>
      </c>
      <c r="F750" s="45"/>
      <c r="G750" s="46">
        <f>SUM(G747:G749)</f>
        <v>-1919683.5513197442</v>
      </c>
      <c r="H750" s="46">
        <f t="shared" ref="H750:I750" si="273">SUM(H747:H749)</f>
        <v>-2002865.89657471</v>
      </c>
      <c r="I750" s="46">
        <f t="shared" si="273"/>
        <v>83182.34525496565</v>
      </c>
      <c r="J750" s="20">
        <f t="shared" si="270"/>
        <v>0</v>
      </c>
      <c r="L750" s="21">
        <v>0</v>
      </c>
      <c r="M750" s="21">
        <v>0</v>
      </c>
      <c r="N750" s="21">
        <v>0</v>
      </c>
      <c r="O750" s="21">
        <v>0</v>
      </c>
      <c r="P750" s="21">
        <v>0</v>
      </c>
      <c r="Q750" s="21">
        <v>0</v>
      </c>
      <c r="R750" s="21">
        <v>0</v>
      </c>
      <c r="S750" s="21">
        <v>0</v>
      </c>
    </row>
    <row r="751" spans="1:19" x14ac:dyDescent="0.2">
      <c r="A751" s="13">
        <f t="shared" si="256"/>
        <v>751</v>
      </c>
      <c r="B751" s="38" t="str">
        <f>"* * * TABLE 10 - CALCULATION OF FEDERAL INCOME TAX * * *"</f>
        <v>* * * TABLE 10 - CALCULATION OF FEDERAL INCOME TAX * * *</v>
      </c>
      <c r="C751" s="4"/>
      <c r="D751" s="43"/>
      <c r="E751" s="44"/>
      <c r="F751" s="45"/>
      <c r="L751" s="21">
        <v>0</v>
      </c>
      <c r="M751" s="21">
        <v>0</v>
      </c>
      <c r="N751" s="21">
        <v>0</v>
      </c>
      <c r="O751" s="21">
        <v>0</v>
      </c>
      <c r="P751" s="21">
        <v>0</v>
      </c>
      <c r="Q751" s="21">
        <v>0</v>
      </c>
      <c r="R751" s="21">
        <v>0</v>
      </c>
      <c r="S751" s="21">
        <v>0</v>
      </c>
    </row>
    <row r="752" spans="1:19" x14ac:dyDescent="0.2">
      <c r="A752" s="13">
        <f t="shared" si="256"/>
        <v>752</v>
      </c>
      <c r="B752" s="4" t="s">
        <v>39</v>
      </c>
      <c r="C752" s="4"/>
      <c r="D752" s="43"/>
      <c r="E752" s="44"/>
      <c r="F752" s="45"/>
      <c r="L752" s="21">
        <v>0</v>
      </c>
      <c r="M752" s="21">
        <v>0</v>
      </c>
      <c r="N752" s="21">
        <v>0</v>
      </c>
      <c r="O752" s="21">
        <v>0</v>
      </c>
      <c r="P752" s="21">
        <v>0</v>
      </c>
      <c r="Q752" s="21">
        <v>0</v>
      </c>
      <c r="R752" s="21">
        <v>0</v>
      </c>
      <c r="S752" s="21">
        <v>0</v>
      </c>
    </row>
    <row r="753" spans="1:19" x14ac:dyDescent="0.2">
      <c r="A753" s="13">
        <f t="shared" si="256"/>
        <v>753</v>
      </c>
      <c r="B753" s="4" t="s">
        <v>18</v>
      </c>
      <c r="C753" s="4"/>
      <c r="D753" s="43"/>
      <c r="E753" s="44"/>
      <c r="F753" s="45"/>
      <c r="G753" s="42">
        <f>SUM(H753:I753)</f>
        <v>1172481393.6037021</v>
      </c>
      <c r="H753" s="42">
        <f>(H30)</f>
        <v>1117032914.7908282</v>
      </c>
      <c r="I753" s="42">
        <f>(I30)</f>
        <v>55448478.812873781</v>
      </c>
      <c r="J753" s="20">
        <f t="shared" ref="J753" si="274">IF($E$1149=1,($G753),IF($E$1149=2,($G753),IF($E$1149=3,0,IF($E$1149=4,($H753),IF($E$1149=5,($I753),0)))))</f>
        <v>0</v>
      </c>
      <c r="L753" s="21">
        <v>0</v>
      </c>
      <c r="M753" s="21">
        <v>0</v>
      </c>
      <c r="N753" s="21">
        <v>0</v>
      </c>
      <c r="O753" s="21">
        <v>0</v>
      </c>
      <c r="P753" s="21">
        <v>0</v>
      </c>
      <c r="Q753" s="21">
        <v>0</v>
      </c>
      <c r="R753" s="21">
        <v>0</v>
      </c>
      <c r="S753" s="21">
        <v>0</v>
      </c>
    </row>
    <row r="754" spans="1:19" x14ac:dyDescent="0.2">
      <c r="A754" s="13">
        <f t="shared" si="256"/>
        <v>754</v>
      </c>
      <c r="B754" s="4" t="s">
        <v>5</v>
      </c>
      <c r="C754" s="4" t="s">
        <v>5</v>
      </c>
      <c r="D754" s="43" t="s">
        <v>5</v>
      </c>
      <c r="E754" s="44" t="s">
        <v>5</v>
      </c>
      <c r="F754" s="45"/>
      <c r="L754" s="21">
        <v>0</v>
      </c>
      <c r="M754" s="21">
        <v>0</v>
      </c>
      <c r="N754" s="21">
        <v>0</v>
      </c>
      <c r="O754" s="21">
        <v>0</v>
      </c>
      <c r="P754" s="21">
        <v>0</v>
      </c>
      <c r="Q754" s="21">
        <v>0</v>
      </c>
      <c r="R754" s="21">
        <v>0</v>
      </c>
      <c r="S754" s="21">
        <v>0</v>
      </c>
    </row>
    <row r="755" spans="1:19" x14ac:dyDescent="0.2">
      <c r="A755" s="13">
        <f t="shared" si="256"/>
        <v>755</v>
      </c>
      <c r="B755" s="4" t="s">
        <v>22</v>
      </c>
      <c r="C755" s="4"/>
      <c r="D755" s="43" t="s">
        <v>5</v>
      </c>
      <c r="E755" s="44" t="s">
        <v>5</v>
      </c>
      <c r="F755" s="45"/>
      <c r="L755" s="21">
        <v>0</v>
      </c>
      <c r="M755" s="21">
        <v>0</v>
      </c>
      <c r="N755" s="21">
        <v>0</v>
      </c>
      <c r="O755" s="21">
        <v>0</v>
      </c>
      <c r="P755" s="21">
        <v>0</v>
      </c>
      <c r="Q755" s="21">
        <v>0</v>
      </c>
      <c r="R755" s="21">
        <v>0</v>
      </c>
      <c r="S755" s="21">
        <v>0</v>
      </c>
    </row>
    <row r="756" spans="1:19" x14ac:dyDescent="0.2">
      <c r="A756" s="13">
        <f t="shared" si="256"/>
        <v>756</v>
      </c>
      <c r="B756" s="4" t="s">
        <v>5</v>
      </c>
      <c r="C756" s="4" t="s">
        <v>439</v>
      </c>
      <c r="D756" s="43"/>
      <c r="E756" s="44"/>
      <c r="F756" s="45"/>
      <c r="G756" s="42">
        <f t="shared" ref="G756:I761" si="275">(G32)</f>
        <v>783001496.63308632</v>
      </c>
      <c r="H756" s="42">
        <f t="shared" si="275"/>
        <v>746817824.95303774</v>
      </c>
      <c r="I756" s="42">
        <f t="shared" si="275"/>
        <v>36183671.680048637</v>
      </c>
      <c r="J756" s="20">
        <f t="shared" ref="J756:J764" si="276">IF($E$1149=1,($G756),IF($E$1149=2,($G756),IF($E$1149=3,0,IF($E$1149=4,($H756),IF($E$1149=5,($I756),0)))))</f>
        <v>0</v>
      </c>
      <c r="L756" s="21">
        <v>0</v>
      </c>
      <c r="M756" s="21">
        <v>0</v>
      </c>
      <c r="N756" s="21">
        <v>0</v>
      </c>
      <c r="O756" s="21">
        <v>0</v>
      </c>
      <c r="P756" s="21">
        <v>0</v>
      </c>
      <c r="Q756" s="21">
        <v>0</v>
      </c>
      <c r="R756" s="21">
        <v>0</v>
      </c>
      <c r="S756" s="21">
        <v>0</v>
      </c>
    </row>
    <row r="757" spans="1:19" x14ac:dyDescent="0.2">
      <c r="A757" s="13">
        <f t="shared" si="256"/>
        <v>757</v>
      </c>
      <c r="B757" s="4" t="s">
        <v>5</v>
      </c>
      <c r="C757" s="4" t="s">
        <v>390</v>
      </c>
      <c r="D757" s="43"/>
      <c r="E757" s="44"/>
      <c r="F757" s="45"/>
      <c r="G757" s="42">
        <f t="shared" si="275"/>
        <v>148669180.34000006</v>
      </c>
      <c r="H757" s="42">
        <f t="shared" si="275"/>
        <v>142563777.40413702</v>
      </c>
      <c r="I757" s="42">
        <f t="shared" si="275"/>
        <v>6105402.9358630348</v>
      </c>
      <c r="J757" s="20">
        <f t="shared" si="276"/>
        <v>0</v>
      </c>
      <c r="L757" s="21">
        <v>0</v>
      </c>
      <c r="M757" s="21">
        <v>0</v>
      </c>
      <c r="N757" s="21">
        <v>0</v>
      </c>
      <c r="O757" s="21">
        <v>0</v>
      </c>
      <c r="P757" s="21">
        <v>0</v>
      </c>
      <c r="Q757" s="21">
        <v>0</v>
      </c>
      <c r="R757" s="21">
        <v>0</v>
      </c>
      <c r="S757" s="21">
        <v>0</v>
      </c>
    </row>
    <row r="758" spans="1:19" x14ac:dyDescent="0.2">
      <c r="A758" s="13">
        <f t="shared" si="256"/>
        <v>758</v>
      </c>
      <c r="B758" s="4" t="s">
        <v>5</v>
      </c>
      <c r="C758" s="4" t="s">
        <v>440</v>
      </c>
      <c r="D758" s="43"/>
      <c r="E758" s="44"/>
      <c r="F758" s="45"/>
      <c r="G758" s="42">
        <f t="shared" si="275"/>
        <v>9187906.3199999984</v>
      </c>
      <c r="H758" s="42">
        <f t="shared" si="275"/>
        <v>8817198.6195093133</v>
      </c>
      <c r="I758" s="42">
        <f t="shared" si="275"/>
        <v>370707.70049068518</v>
      </c>
      <c r="J758" s="20">
        <f t="shared" si="276"/>
        <v>0</v>
      </c>
      <c r="L758" s="21">
        <v>0</v>
      </c>
      <c r="M758" s="21">
        <v>0</v>
      </c>
      <c r="N758" s="21">
        <v>0</v>
      </c>
      <c r="O758" s="21">
        <v>0</v>
      </c>
      <c r="P758" s="21">
        <v>0</v>
      </c>
      <c r="Q758" s="21">
        <v>0</v>
      </c>
      <c r="R758" s="21">
        <v>0</v>
      </c>
      <c r="S758" s="21">
        <v>0</v>
      </c>
    </row>
    <row r="759" spans="1:19" x14ac:dyDescent="0.2">
      <c r="A759" s="13">
        <f t="shared" si="256"/>
        <v>759</v>
      </c>
      <c r="B759" s="4"/>
      <c r="C759" s="4" t="s">
        <v>441</v>
      </c>
      <c r="D759" s="43"/>
      <c r="E759" s="44"/>
      <c r="F759" s="45"/>
      <c r="G759" s="42">
        <f t="shared" si="275"/>
        <v>56782.84</v>
      </c>
      <c r="H759" s="42">
        <f t="shared" si="275"/>
        <v>54556.95</v>
      </c>
      <c r="I759" s="42">
        <f t="shared" si="275"/>
        <v>2225.89</v>
      </c>
    </row>
    <row r="760" spans="1:19" x14ac:dyDescent="0.2">
      <c r="A760" s="13">
        <f t="shared" si="256"/>
        <v>760</v>
      </c>
      <c r="B760" s="4" t="s">
        <v>5</v>
      </c>
      <c r="C760" s="4" t="s">
        <v>400</v>
      </c>
      <c r="D760" s="43"/>
      <c r="E760" s="44"/>
      <c r="F760" s="45"/>
      <c r="G760" s="42">
        <f t="shared" si="275"/>
        <v>31768584.580000002</v>
      </c>
      <c r="H760" s="42">
        <f t="shared" si="275"/>
        <v>29549207.926588491</v>
      </c>
      <c r="I760" s="42">
        <f t="shared" si="275"/>
        <v>2219376.6534115127</v>
      </c>
      <c r="J760" s="20">
        <f t="shared" si="276"/>
        <v>0</v>
      </c>
      <c r="L760" s="21">
        <v>0</v>
      </c>
      <c r="M760" s="21">
        <v>0</v>
      </c>
      <c r="N760" s="21">
        <v>0</v>
      </c>
      <c r="O760" s="21">
        <v>0</v>
      </c>
      <c r="P760" s="21">
        <v>0</v>
      </c>
      <c r="Q760" s="21">
        <v>0</v>
      </c>
      <c r="R760" s="21">
        <v>0</v>
      </c>
      <c r="S760" s="21">
        <v>0</v>
      </c>
    </row>
    <row r="761" spans="1:19" x14ac:dyDescent="0.2">
      <c r="A761" s="13">
        <f t="shared" si="256"/>
        <v>761</v>
      </c>
      <c r="B761" s="4" t="s">
        <v>5</v>
      </c>
      <c r="C761" s="4" t="s">
        <v>425</v>
      </c>
      <c r="D761" s="43"/>
      <c r="E761" s="44"/>
      <c r="F761" s="45"/>
      <c r="G761" s="42">
        <f t="shared" si="275"/>
        <v>1497775</v>
      </c>
      <c r="H761" s="42">
        <f t="shared" si="275"/>
        <v>1219115</v>
      </c>
      <c r="I761" s="42">
        <f t="shared" si="275"/>
        <v>278660</v>
      </c>
      <c r="J761" s="20">
        <f t="shared" si="276"/>
        <v>0</v>
      </c>
      <c r="L761" s="21">
        <v>0</v>
      </c>
      <c r="M761" s="21">
        <v>0</v>
      </c>
      <c r="N761" s="21">
        <v>0</v>
      </c>
      <c r="O761" s="21">
        <v>0</v>
      </c>
      <c r="P761" s="21">
        <v>0</v>
      </c>
      <c r="Q761" s="21">
        <v>0</v>
      </c>
      <c r="R761" s="21">
        <v>0</v>
      </c>
      <c r="S761" s="21">
        <v>0</v>
      </c>
    </row>
    <row r="762" spans="1:19" x14ac:dyDescent="0.2">
      <c r="A762" s="13">
        <f t="shared" si="256"/>
        <v>762</v>
      </c>
      <c r="B762" s="4" t="s">
        <v>5</v>
      </c>
      <c r="C762" s="4" t="s">
        <v>33</v>
      </c>
      <c r="D762" s="43" t="s">
        <v>5</v>
      </c>
      <c r="E762" s="44" t="s">
        <v>5</v>
      </c>
      <c r="F762" s="45"/>
      <c r="G762" s="46">
        <f>SUM(H762:I762)</f>
        <v>974181725.71308661</v>
      </c>
      <c r="H762" s="46">
        <f t="shared" ref="H762:I762" si="277">SUM(H756:H761)</f>
        <v>929021680.85327268</v>
      </c>
      <c r="I762" s="46">
        <f t="shared" si="277"/>
        <v>45160044.859813869</v>
      </c>
      <c r="J762" s="20">
        <f t="shared" si="276"/>
        <v>0</v>
      </c>
      <c r="L762" s="21">
        <v>0</v>
      </c>
      <c r="M762" s="21">
        <v>0</v>
      </c>
      <c r="N762" s="21">
        <v>0</v>
      </c>
      <c r="O762" s="21">
        <v>0</v>
      </c>
      <c r="P762" s="21">
        <v>0</v>
      </c>
      <c r="Q762" s="21">
        <v>0</v>
      </c>
      <c r="R762" s="21">
        <v>0</v>
      </c>
      <c r="S762" s="21">
        <v>0</v>
      </c>
    </row>
    <row r="763" spans="1:19" x14ac:dyDescent="0.2">
      <c r="A763" s="13">
        <f t="shared" si="256"/>
        <v>763</v>
      </c>
      <c r="B763" s="4" t="s">
        <v>5</v>
      </c>
      <c r="C763" s="4" t="s">
        <v>5</v>
      </c>
      <c r="D763" s="43" t="s">
        <v>5</v>
      </c>
      <c r="E763" s="44" t="s">
        <v>5</v>
      </c>
      <c r="F763" s="45"/>
      <c r="L763" s="21">
        <v>0</v>
      </c>
      <c r="M763" s="21">
        <v>0</v>
      </c>
      <c r="N763" s="21">
        <v>0</v>
      </c>
      <c r="O763" s="21">
        <v>0</v>
      </c>
      <c r="P763" s="21">
        <v>0</v>
      </c>
      <c r="Q763" s="21">
        <v>0</v>
      </c>
      <c r="R763" s="21">
        <v>0</v>
      </c>
      <c r="S763" s="21">
        <v>0</v>
      </c>
    </row>
    <row r="764" spans="1:19" x14ac:dyDescent="0.2">
      <c r="A764" s="13">
        <f t="shared" si="256"/>
        <v>764</v>
      </c>
      <c r="B764" s="4"/>
      <c r="C764" s="4" t="s">
        <v>521</v>
      </c>
      <c r="D764" s="43" t="s">
        <v>508</v>
      </c>
      <c r="E764" s="44">
        <f>A762</f>
        <v>762</v>
      </c>
      <c r="F764" s="45"/>
      <c r="G764" s="21">
        <f>IF($E$1149=1,($L764),IF($E$1149=2,($M764),IF($E$1149=3,($N764),IF($E$1149=4,($O764),IF($E$1149=5,($P764),IF($E$1149=6,($Q764),IF($E$1149=7,($R764),IF($E$1149=8,($S764),0))))))))</f>
        <v>0</v>
      </c>
      <c r="H764" s="48">
        <f>IF($G$762&lt;&gt;0,($G764)*(H$762/$G$762),0)</f>
        <v>0</v>
      </c>
      <c r="I764" s="48">
        <f>IF($G$762&lt;&gt;0,($G764)*(I$762/$G$762),0)</f>
        <v>0</v>
      </c>
      <c r="J764" s="20">
        <f t="shared" si="276"/>
        <v>0</v>
      </c>
      <c r="L764" s="21">
        <v>0</v>
      </c>
      <c r="M764" s="21">
        <v>0</v>
      </c>
      <c r="N764" s="21">
        <v>0</v>
      </c>
      <c r="O764" s="21">
        <v>0</v>
      </c>
      <c r="P764" s="21">
        <v>0</v>
      </c>
      <c r="Q764" s="21">
        <v>0</v>
      </c>
      <c r="R764" s="21">
        <v>0</v>
      </c>
      <c r="S764" s="21">
        <v>0</v>
      </c>
    </row>
    <row r="765" spans="1:19" x14ac:dyDescent="0.2">
      <c r="A765" s="13">
        <f t="shared" si="256"/>
        <v>765</v>
      </c>
      <c r="B765" s="4"/>
      <c r="C765" s="4"/>
      <c r="D765" s="43"/>
      <c r="E765" s="44"/>
      <c r="F765" s="45"/>
      <c r="L765" s="21">
        <v>0</v>
      </c>
      <c r="M765" s="21">
        <v>0</v>
      </c>
      <c r="N765" s="21">
        <v>0</v>
      </c>
      <c r="O765" s="21">
        <v>0</v>
      </c>
      <c r="P765" s="21">
        <v>0</v>
      </c>
      <c r="Q765" s="21">
        <v>0</v>
      </c>
      <c r="R765" s="21">
        <v>0</v>
      </c>
      <c r="S765" s="21">
        <v>0</v>
      </c>
    </row>
    <row r="766" spans="1:19" x14ac:dyDescent="0.2">
      <c r="A766" s="13">
        <f t="shared" si="256"/>
        <v>766</v>
      </c>
      <c r="B766" s="4" t="s">
        <v>442</v>
      </c>
      <c r="C766" s="4"/>
      <c r="D766" s="39" t="s">
        <v>5</v>
      </c>
      <c r="E766" s="40" t="s">
        <v>5</v>
      </c>
      <c r="G766" s="46">
        <f>(G753-G762-G764)</f>
        <v>198299667.89061546</v>
      </c>
      <c r="H766" s="46">
        <f t="shared" ref="H766:I766" si="278">(H753-H762-H764)</f>
        <v>188011233.93755555</v>
      </c>
      <c r="I766" s="46">
        <f t="shared" si="278"/>
        <v>10288433.953059912</v>
      </c>
      <c r="J766" s="20">
        <f>(J753-J762-J764)</f>
        <v>0</v>
      </c>
      <c r="L766" s="21">
        <v>0</v>
      </c>
      <c r="M766" s="21">
        <v>0</v>
      </c>
      <c r="N766" s="21">
        <v>0</v>
      </c>
      <c r="O766" s="21">
        <v>0</v>
      </c>
      <c r="P766" s="21">
        <v>0</v>
      </c>
      <c r="Q766" s="21">
        <v>0</v>
      </c>
      <c r="R766" s="21">
        <v>0</v>
      </c>
      <c r="S766" s="21">
        <v>0</v>
      </c>
    </row>
    <row r="767" spans="1:19" x14ac:dyDescent="0.2">
      <c r="A767" s="13">
        <f t="shared" si="256"/>
        <v>767</v>
      </c>
      <c r="B767" s="4" t="s">
        <v>5</v>
      </c>
      <c r="C767" s="4" t="s">
        <v>5</v>
      </c>
      <c r="D767" s="43" t="s">
        <v>5</v>
      </c>
      <c r="E767" s="44" t="s">
        <v>5</v>
      </c>
      <c r="F767" s="45"/>
      <c r="L767" s="21">
        <v>0</v>
      </c>
      <c r="M767" s="21">
        <v>0</v>
      </c>
      <c r="N767" s="21">
        <v>0</v>
      </c>
      <c r="O767" s="21">
        <v>0</v>
      </c>
      <c r="P767" s="21">
        <v>0</v>
      </c>
      <c r="Q767" s="21">
        <v>0</v>
      </c>
      <c r="R767" s="21">
        <v>0</v>
      </c>
      <c r="S767" s="21">
        <v>0</v>
      </c>
    </row>
    <row r="768" spans="1:19" x14ac:dyDescent="0.2">
      <c r="A768" s="13">
        <f t="shared" si="256"/>
        <v>768</v>
      </c>
      <c r="B768" s="4" t="s">
        <v>443</v>
      </c>
      <c r="C768" s="4"/>
      <c r="D768" s="43" t="s">
        <v>5</v>
      </c>
      <c r="E768" s="44" t="s">
        <v>5</v>
      </c>
      <c r="F768" s="45"/>
      <c r="L768" s="21">
        <v>0</v>
      </c>
      <c r="M768" s="21">
        <v>0</v>
      </c>
      <c r="N768" s="21">
        <v>0</v>
      </c>
      <c r="O768" s="21">
        <v>0</v>
      </c>
      <c r="P768" s="21">
        <v>0</v>
      </c>
      <c r="Q768" s="21">
        <v>0</v>
      </c>
      <c r="R768" s="21">
        <v>0</v>
      </c>
      <c r="S768" s="21">
        <v>0</v>
      </c>
    </row>
    <row r="769" spans="1:19" x14ac:dyDescent="0.2">
      <c r="A769" s="13">
        <f t="shared" si="256"/>
        <v>769</v>
      </c>
      <c r="B769" s="4" t="s">
        <v>5</v>
      </c>
      <c r="C769" s="4" t="s">
        <v>444</v>
      </c>
      <c r="D769" s="43" t="s">
        <v>508</v>
      </c>
      <c r="E769" s="44">
        <f>A24</f>
        <v>24</v>
      </c>
      <c r="F769" s="45"/>
      <c r="G769" s="21">
        <f>IF($E$1149=1,($L769),IF($E$1149=2,($M769),IF($E$1149=3,($N769),IF($E$1149=4,($O769),IF($E$1149=5,($P769),IF($E$1149=6,($Q769),IF($E$1149=7,($R769),IF($E$1149=8,($S769),0))))))))</f>
        <v>80955078</v>
      </c>
      <c r="H769" s="48">
        <f>IF($G$24&lt;&gt;0,($G769)*(H$24/$G$24),0)</f>
        <v>77641060.189975724</v>
      </c>
      <c r="I769" s="48">
        <f t="shared" ref="I769:I770" si="279">IF($G$24&lt;&gt;0,($G769)*(I$24/$G$24),0)</f>
        <v>3314017.8100242629</v>
      </c>
      <c r="J769" s="20">
        <f t="shared" ref="J769:J771" si="280">IF($E$1149=1,($G769),IF($E$1149=2,($G769),IF($E$1149=3,0,IF($E$1149=4,($H769),IF($E$1149=5,($I769),0)))))</f>
        <v>0</v>
      </c>
      <c r="L769" s="21">
        <v>84144940</v>
      </c>
      <c r="M769" s="21">
        <v>80955078</v>
      </c>
      <c r="N769" s="21">
        <v>80955078</v>
      </c>
      <c r="O769" s="21">
        <v>80955078</v>
      </c>
      <c r="P769" s="21">
        <v>84144940</v>
      </c>
      <c r="Q769" s="21">
        <v>80955078</v>
      </c>
      <c r="R769" s="21">
        <v>80955078</v>
      </c>
      <c r="S769" s="21">
        <v>80955078</v>
      </c>
    </row>
    <row r="770" spans="1:19" x14ac:dyDescent="0.2">
      <c r="A770" s="13">
        <f t="shared" si="256"/>
        <v>770</v>
      </c>
      <c r="B770" s="4" t="s">
        <v>5</v>
      </c>
      <c r="C770" s="4" t="s">
        <v>445</v>
      </c>
      <c r="D770" s="43" t="s">
        <v>508</v>
      </c>
      <c r="E770" s="44">
        <f>A24</f>
        <v>24</v>
      </c>
      <c r="F770" s="45"/>
      <c r="G770" s="21">
        <f>IF($E$1149=1,($L770),IF($E$1149=2,($M770),IF($E$1149=3,($N770),IF($E$1149=4,($O770),IF($E$1149=5,($P770),IF($E$1149=6,($Q770),IF($E$1149=7,($R770),IF($E$1149=8,($S770),0))))))))</f>
        <v>14511356</v>
      </c>
      <c r="H770" s="48">
        <f>IF($G$24&lt;&gt;0,($G770)*(H$24/$G$24),0)</f>
        <v>13917311.828594189</v>
      </c>
      <c r="I770" s="48">
        <f t="shared" si="279"/>
        <v>594044.17140580667</v>
      </c>
      <c r="J770" s="20">
        <f t="shared" si="280"/>
        <v>0</v>
      </c>
      <c r="L770" s="21">
        <v>14511356</v>
      </c>
      <c r="M770" s="21">
        <v>14511356</v>
      </c>
      <c r="N770" s="21">
        <v>14511356</v>
      </c>
      <c r="O770" s="21">
        <v>14511356</v>
      </c>
      <c r="P770" s="21">
        <v>14511356</v>
      </c>
      <c r="Q770" s="21">
        <v>14511356</v>
      </c>
      <c r="R770" s="21">
        <v>14511356</v>
      </c>
      <c r="S770" s="21">
        <v>14511356</v>
      </c>
    </row>
    <row r="771" spans="1:19" x14ac:dyDescent="0.2">
      <c r="A771" s="13">
        <f t="shared" ref="A771:A834" si="281">A770+1</f>
        <v>771</v>
      </c>
      <c r="B771" s="4" t="s">
        <v>5</v>
      </c>
      <c r="C771" s="4" t="s">
        <v>446</v>
      </c>
      <c r="D771" s="43" t="s">
        <v>5</v>
      </c>
      <c r="E771" s="44" t="s">
        <v>5</v>
      </c>
      <c r="F771" s="45"/>
      <c r="G771" s="46">
        <f>SUM(H771:I771)</f>
        <v>95466433.999999985</v>
      </c>
      <c r="H771" s="46">
        <f t="shared" ref="H771:I771" si="282">SUM(H769:H770)</f>
        <v>91558372.018569916</v>
      </c>
      <c r="I771" s="46">
        <f t="shared" si="282"/>
        <v>3908061.9814300695</v>
      </c>
      <c r="J771" s="20">
        <f t="shared" si="280"/>
        <v>0</v>
      </c>
      <c r="L771" s="21">
        <v>0</v>
      </c>
      <c r="M771" s="21">
        <v>0</v>
      </c>
      <c r="N771" s="21">
        <v>0</v>
      </c>
      <c r="O771" s="21">
        <v>0</v>
      </c>
      <c r="P771" s="21">
        <v>0</v>
      </c>
      <c r="Q771" s="21">
        <v>0</v>
      </c>
      <c r="R771" s="21">
        <v>0</v>
      </c>
      <c r="S771" s="21">
        <v>0</v>
      </c>
    </row>
    <row r="772" spans="1:19" x14ac:dyDescent="0.2">
      <c r="A772" s="13">
        <f t="shared" si="281"/>
        <v>772</v>
      </c>
      <c r="B772" s="4" t="s">
        <v>5</v>
      </c>
      <c r="C772" s="4" t="s">
        <v>5</v>
      </c>
      <c r="D772" s="43" t="s">
        <v>5</v>
      </c>
      <c r="E772" s="44" t="s">
        <v>5</v>
      </c>
      <c r="F772" s="45"/>
      <c r="G772" s="46"/>
      <c r="H772" s="46"/>
      <c r="I772" s="46"/>
      <c r="L772" s="21">
        <v>0</v>
      </c>
      <c r="M772" s="21">
        <v>0</v>
      </c>
      <c r="N772" s="21">
        <v>0</v>
      </c>
      <c r="O772" s="21">
        <v>0</v>
      </c>
      <c r="P772" s="21">
        <v>0</v>
      </c>
      <c r="Q772" s="21">
        <v>0</v>
      </c>
      <c r="R772" s="21">
        <v>0</v>
      </c>
      <c r="S772" s="21">
        <v>0</v>
      </c>
    </row>
    <row r="773" spans="1:19" x14ac:dyDescent="0.2">
      <c r="A773" s="13">
        <f t="shared" si="281"/>
        <v>773</v>
      </c>
      <c r="B773" s="4" t="s">
        <v>522</v>
      </c>
      <c r="C773" s="4"/>
      <c r="D773" s="43" t="s">
        <v>5</v>
      </c>
      <c r="E773" s="44" t="s">
        <v>5</v>
      </c>
      <c r="F773" s="45"/>
      <c r="G773" s="46">
        <f>SUM(H773:I773)</f>
        <v>102833233.89061548</v>
      </c>
      <c r="H773" s="46">
        <f t="shared" ref="H773:I773" si="283">(H766-H771)</f>
        <v>96452861.918985635</v>
      </c>
      <c r="I773" s="46">
        <f t="shared" si="283"/>
        <v>6380371.9716298422</v>
      </c>
      <c r="J773" s="20">
        <f t="shared" ref="J773" si="284">IF($E$1149=1,($G773),IF($E$1149=2,($G773),IF($E$1149=3,0,IF($E$1149=4,($H773),IF($E$1149=5,($I773),0)))))</f>
        <v>0</v>
      </c>
      <c r="L773" s="21">
        <v>0</v>
      </c>
      <c r="M773" s="21">
        <v>0</v>
      </c>
      <c r="N773" s="21">
        <v>0</v>
      </c>
      <c r="O773" s="21">
        <v>0</v>
      </c>
      <c r="P773" s="21">
        <v>0</v>
      </c>
      <c r="Q773" s="21">
        <v>0</v>
      </c>
      <c r="R773" s="21">
        <v>0</v>
      </c>
      <c r="S773" s="21">
        <v>0</v>
      </c>
    </row>
    <row r="774" spans="1:19" x14ac:dyDescent="0.2">
      <c r="A774" s="13">
        <f t="shared" si="281"/>
        <v>774</v>
      </c>
      <c r="B774" s="4" t="s">
        <v>5</v>
      </c>
      <c r="C774" s="4" t="s">
        <v>5</v>
      </c>
      <c r="D774" s="43" t="s">
        <v>5</v>
      </c>
      <c r="E774" s="44" t="s">
        <v>5</v>
      </c>
      <c r="F774" s="45"/>
      <c r="L774" s="21">
        <v>0</v>
      </c>
      <c r="M774" s="21">
        <v>0</v>
      </c>
      <c r="N774" s="21">
        <v>0</v>
      </c>
      <c r="O774" s="21">
        <v>0</v>
      </c>
      <c r="P774" s="21">
        <v>0</v>
      </c>
      <c r="Q774" s="21">
        <v>0</v>
      </c>
      <c r="R774" s="21">
        <v>0</v>
      </c>
      <c r="S774" s="21">
        <v>0</v>
      </c>
    </row>
    <row r="775" spans="1:19" x14ac:dyDescent="0.2">
      <c r="A775" s="13">
        <f t="shared" si="281"/>
        <v>775</v>
      </c>
      <c r="B775" s="4" t="s">
        <v>450</v>
      </c>
      <c r="C775" s="4"/>
      <c r="D775" s="43"/>
      <c r="E775" s="44"/>
      <c r="F775" s="45"/>
      <c r="G775" s="46">
        <f>SUM(H775:I775)</f>
        <v>-2235027.3513197438</v>
      </c>
      <c r="H775" s="46">
        <f>(H819+H845+H861)</f>
        <v>-2274126.0805099416</v>
      </c>
      <c r="I775" s="46">
        <f>(I819+I845+I861)</f>
        <v>39098.729190197548</v>
      </c>
      <c r="J775" s="20">
        <f t="shared" ref="J775" si="285">(J819+J820+J845+J846+J861+J862)</f>
        <v>0</v>
      </c>
      <c r="L775" s="21">
        <v>0</v>
      </c>
      <c r="M775" s="21">
        <v>0</v>
      </c>
      <c r="N775" s="21">
        <v>0</v>
      </c>
      <c r="O775" s="21">
        <v>0</v>
      </c>
      <c r="P775" s="21">
        <v>0</v>
      </c>
      <c r="Q775" s="21">
        <v>0</v>
      </c>
      <c r="R775" s="21">
        <v>0</v>
      </c>
      <c r="S775" s="21">
        <v>0</v>
      </c>
    </row>
    <row r="776" spans="1:19" x14ac:dyDescent="0.2">
      <c r="A776" s="13">
        <f t="shared" si="281"/>
        <v>776</v>
      </c>
      <c r="B776" s="4" t="s">
        <v>5</v>
      </c>
      <c r="C776" s="4" t="s">
        <v>5</v>
      </c>
      <c r="D776" s="43" t="s">
        <v>5</v>
      </c>
      <c r="E776" s="44" t="s">
        <v>5</v>
      </c>
      <c r="F776" s="45"/>
      <c r="L776" s="21">
        <v>0</v>
      </c>
      <c r="M776" s="21">
        <v>0</v>
      </c>
      <c r="N776" s="21">
        <v>0</v>
      </c>
      <c r="O776" s="21">
        <v>0</v>
      </c>
      <c r="P776" s="21">
        <v>0</v>
      </c>
      <c r="Q776" s="21">
        <v>0</v>
      </c>
      <c r="R776" s="21">
        <v>0</v>
      </c>
      <c r="S776" s="21">
        <v>0</v>
      </c>
    </row>
    <row r="777" spans="1:19" x14ac:dyDescent="0.2">
      <c r="A777" s="13">
        <f t="shared" si="281"/>
        <v>777</v>
      </c>
      <c r="B777" s="4" t="s">
        <v>523</v>
      </c>
      <c r="C777" s="4"/>
      <c r="D777" s="43" t="s">
        <v>5</v>
      </c>
      <c r="E777" s="44" t="s">
        <v>5</v>
      </c>
      <c r="F777" s="45"/>
      <c r="G777" s="46">
        <f>SUM(H777:I777)</f>
        <v>105068261.24193522</v>
      </c>
      <c r="H777" s="46">
        <f>H773-H775</f>
        <v>98726987.999495581</v>
      </c>
      <c r="I777" s="46">
        <f t="shared" ref="I777" si="286">I773-I775</f>
        <v>6341273.2424396444</v>
      </c>
      <c r="J777" s="20">
        <f t="shared" ref="J777" si="287">IF($E$1149=1,($G777),IF($E$1149=2,($G777),IF($E$1149=3,0,IF($E$1149=4,($H777),IF($E$1149=5,($I777),0)))))</f>
        <v>0</v>
      </c>
      <c r="L777" s="21">
        <v>0</v>
      </c>
      <c r="M777" s="21">
        <v>0</v>
      </c>
      <c r="N777" s="21">
        <v>0</v>
      </c>
      <c r="O777" s="21">
        <v>0</v>
      </c>
      <c r="P777" s="21">
        <v>0</v>
      </c>
      <c r="Q777" s="21">
        <v>0</v>
      </c>
      <c r="R777" s="21">
        <v>0</v>
      </c>
      <c r="S777" s="21">
        <v>0</v>
      </c>
    </row>
    <row r="778" spans="1:19" x14ac:dyDescent="0.2">
      <c r="A778" s="13">
        <f t="shared" si="281"/>
        <v>778</v>
      </c>
      <c r="B778" s="4" t="s">
        <v>35</v>
      </c>
      <c r="C778" s="4"/>
      <c r="D778" s="43" t="s">
        <v>5</v>
      </c>
      <c r="E778" s="44" t="s">
        <v>5</v>
      </c>
      <c r="F778" s="45"/>
      <c r="L778" s="21">
        <v>0</v>
      </c>
      <c r="M778" s="21">
        <v>0</v>
      </c>
      <c r="N778" s="21">
        <v>0</v>
      </c>
      <c r="O778" s="21">
        <v>0</v>
      </c>
      <c r="P778" s="21">
        <v>0</v>
      </c>
      <c r="Q778" s="21">
        <v>0</v>
      </c>
      <c r="R778" s="21">
        <v>0</v>
      </c>
      <c r="S778" s="21">
        <v>0</v>
      </c>
    </row>
    <row r="779" spans="1:19" x14ac:dyDescent="0.2">
      <c r="A779" s="13">
        <f t="shared" si="281"/>
        <v>779</v>
      </c>
      <c r="B779" s="4" t="s">
        <v>35</v>
      </c>
      <c r="C779" s="4" t="s">
        <v>524</v>
      </c>
      <c r="D779" s="43" t="s">
        <v>5</v>
      </c>
      <c r="E779" s="44" t="s">
        <v>5</v>
      </c>
      <c r="F779" s="45"/>
      <c r="G779" s="46">
        <f>SUM(H779:I779)</f>
        <v>22064334.860806398</v>
      </c>
      <c r="H779" s="46">
        <f>(H777*0.21)</f>
        <v>20732667.479894072</v>
      </c>
      <c r="I779" s="46">
        <f>(I777*0.21)</f>
        <v>1331667.3809123253</v>
      </c>
      <c r="J779" s="20">
        <f t="shared" ref="J779:J781" si="288">IF($E$1149=1,($G779),IF($E$1149=2,($G779),IF($E$1149=3,0,IF($E$1149=4,($H779),IF($E$1149=5,($I779),0)))))</f>
        <v>0</v>
      </c>
      <c r="L779" s="21">
        <v>0</v>
      </c>
      <c r="M779" s="21">
        <v>0</v>
      </c>
      <c r="N779" s="21">
        <v>0</v>
      </c>
      <c r="O779" s="21">
        <v>0</v>
      </c>
      <c r="P779" s="21">
        <v>0</v>
      </c>
      <c r="Q779" s="21">
        <v>0</v>
      </c>
      <c r="R779" s="21">
        <v>0</v>
      </c>
      <c r="S779" s="21">
        <v>0</v>
      </c>
    </row>
    <row r="780" spans="1:19" x14ac:dyDescent="0.2">
      <c r="A780" s="13">
        <f t="shared" si="281"/>
        <v>780</v>
      </c>
      <c r="B780" s="4" t="s">
        <v>35</v>
      </c>
      <c r="C780" s="8" t="s">
        <v>451</v>
      </c>
      <c r="D780" s="43" t="s">
        <v>508</v>
      </c>
      <c r="E780" s="44">
        <f>A779</f>
        <v>779</v>
      </c>
      <c r="F780" s="45"/>
      <c r="G780" s="21">
        <f>IF($E$1149=1,($L780),IF($E$1149=2,($M780),IF($E$1149=3,($N780),IF($E$1149=4,($O780),IF($E$1149=5,($P780),IF($E$1149=6,($Q780),IF($E$1149=7,($R780),IF($E$1149=8,($S780),0))))))))</f>
        <v>-10177611.6</v>
      </c>
      <c r="H780" s="48">
        <f>IF($G$779&lt;&gt;0,($G780)*(H$779/$G$779),0)</f>
        <v>-9563353.6371465679</v>
      </c>
      <c r="I780" s="48">
        <f>IF($G$779&lt;&gt;0,($G780)*(I$779/$G$779),0)</f>
        <v>-614257.96285343193</v>
      </c>
      <c r="J780" s="20">
        <f t="shared" si="288"/>
        <v>0</v>
      </c>
      <c r="L780" s="21">
        <v>-8600043.7599999998</v>
      </c>
      <c r="M780" s="21">
        <v>-10177611.6</v>
      </c>
      <c r="N780" s="21">
        <v>-10177611.6</v>
      </c>
      <c r="O780" s="21">
        <v>-10177611.6</v>
      </c>
      <c r="P780" s="21">
        <v>-8600043.7599999998</v>
      </c>
      <c r="Q780" s="21">
        <v>-10177611.6</v>
      </c>
      <c r="R780" s="21">
        <v>-10177611.6</v>
      </c>
      <c r="S780" s="21">
        <v>-10177611.6</v>
      </c>
    </row>
    <row r="781" spans="1:19" x14ac:dyDescent="0.2">
      <c r="A781" s="13">
        <f t="shared" si="281"/>
        <v>781</v>
      </c>
      <c r="B781" s="4" t="s">
        <v>35</v>
      </c>
      <c r="C781" s="8" t="s">
        <v>475</v>
      </c>
      <c r="D781" s="43" t="s">
        <v>508</v>
      </c>
      <c r="E781" s="44">
        <f>A779</f>
        <v>779</v>
      </c>
      <c r="F781" s="45"/>
      <c r="G781" s="21">
        <f>IF($E$1149=1,($L781),IF($E$1149=2,($M781),IF($E$1149=3,($N781),IF($E$1149=4,($O781),IF($E$1149=5,($P781),IF($E$1149=6,($Q781),IF($E$1149=7,($R781),IF($E$1149=8,($S781),0))))))))</f>
        <v>-0.24000000000523869</v>
      </c>
      <c r="H781" s="48">
        <f>IF($G$779&lt;&gt;0,($G781)*(H$779/$G$779),0)</f>
        <v>-0.22551507791526212</v>
      </c>
      <c r="I781" s="48">
        <f>IF($G$779&lt;&gt;0,($G781)*(I$779/$G$779),0)</f>
        <v>-1.448492208997655E-2</v>
      </c>
      <c r="J781" s="20">
        <f t="shared" si="288"/>
        <v>0</v>
      </c>
      <c r="L781" s="21">
        <v>71807.759999999995</v>
      </c>
      <c r="M781" s="21">
        <v>-0.24000000000523869</v>
      </c>
      <c r="N781" s="21">
        <v>-0.24000000000523869</v>
      </c>
      <c r="O781" s="21">
        <v>-0.24000000000523869</v>
      </c>
      <c r="P781" s="21">
        <v>71807.759999999995</v>
      </c>
      <c r="Q781" s="21">
        <v>-0.24000000000523869</v>
      </c>
      <c r="R781" s="21">
        <v>-0.24000000000523869</v>
      </c>
      <c r="S781" s="21">
        <v>-0.24000000000523869</v>
      </c>
    </row>
    <row r="782" spans="1:19" x14ac:dyDescent="0.2">
      <c r="A782" s="13">
        <f t="shared" si="281"/>
        <v>782</v>
      </c>
      <c r="B782" s="4" t="s">
        <v>39</v>
      </c>
      <c r="C782" s="4" t="s">
        <v>39</v>
      </c>
      <c r="D782" s="43" t="s">
        <v>5</v>
      </c>
      <c r="E782" s="44" t="s">
        <v>5</v>
      </c>
      <c r="F782" s="45"/>
      <c r="L782" s="21">
        <v>0</v>
      </c>
      <c r="M782" s="21">
        <v>0</v>
      </c>
      <c r="N782" s="21">
        <v>0</v>
      </c>
      <c r="O782" s="21">
        <v>0</v>
      </c>
      <c r="P782" s="21">
        <v>0</v>
      </c>
      <c r="Q782" s="21">
        <v>0</v>
      </c>
      <c r="R782" s="21">
        <v>0</v>
      </c>
      <c r="S782" s="21">
        <v>0</v>
      </c>
    </row>
    <row r="783" spans="1:19" x14ac:dyDescent="0.2">
      <c r="A783" s="13">
        <f t="shared" si="281"/>
        <v>783</v>
      </c>
      <c r="B783" s="4" t="s">
        <v>525</v>
      </c>
      <c r="C783" s="4"/>
      <c r="D783" s="43" t="s">
        <v>5</v>
      </c>
      <c r="E783" s="44" t="s">
        <v>5</v>
      </c>
      <c r="F783" s="45"/>
      <c r="G783" s="42">
        <f>SUM(H783:I783)</f>
        <v>11886723.020806396</v>
      </c>
      <c r="H783" s="46">
        <f>SUM(H779:H781)</f>
        <v>11169313.617232425</v>
      </c>
      <c r="I783" s="46">
        <f t="shared" ref="I783" si="289">SUM(I779:I781)</f>
        <v>717409.40357397136</v>
      </c>
      <c r="J783" s="20">
        <f t="shared" ref="J783" si="290">IF($E$1149=1,($G783),IF($E$1149=2,($G783),IF($E$1149=3,0,IF($E$1149=4,($H783),IF($E$1149=5,($I783),0)))))</f>
        <v>0</v>
      </c>
      <c r="L783" s="21">
        <v>0</v>
      </c>
      <c r="M783" s="21">
        <v>0</v>
      </c>
      <c r="N783" s="21">
        <v>0</v>
      </c>
      <c r="O783" s="21">
        <v>0</v>
      </c>
      <c r="P783" s="21">
        <v>0</v>
      </c>
      <c r="Q783" s="21">
        <v>0</v>
      </c>
      <c r="R783" s="21">
        <v>0</v>
      </c>
      <c r="S783" s="21">
        <v>0</v>
      </c>
    </row>
    <row r="784" spans="1:19" x14ac:dyDescent="0.2">
      <c r="A784" s="13">
        <f t="shared" si="281"/>
        <v>784</v>
      </c>
      <c r="B784" s="4"/>
      <c r="C784" s="4"/>
      <c r="D784" s="43"/>
      <c r="E784" s="44"/>
      <c r="F784" s="45"/>
      <c r="H784" s="46"/>
      <c r="I784" s="46"/>
    </row>
    <row r="785" spans="1:19" x14ac:dyDescent="0.2">
      <c r="A785" s="13">
        <f t="shared" si="281"/>
        <v>785</v>
      </c>
      <c r="B785" s="4" t="s">
        <v>526</v>
      </c>
      <c r="C785" s="4"/>
      <c r="D785" s="43"/>
      <c r="E785" s="44"/>
      <c r="F785" s="45"/>
      <c r="H785" s="46"/>
      <c r="I785" s="46"/>
    </row>
    <row r="786" spans="1:19" x14ac:dyDescent="0.2">
      <c r="A786" s="13">
        <f t="shared" si="281"/>
        <v>786</v>
      </c>
      <c r="B786" s="4" t="s">
        <v>527</v>
      </c>
      <c r="C786" s="4"/>
      <c r="D786" s="43"/>
      <c r="E786" s="44" t="str">
        <f>E1059</f>
        <v>P101P</v>
      </c>
      <c r="F786" s="45"/>
      <c r="G786" s="21">
        <f>IF($E$1149=1,($L786),IF($E$1149=2,($M786),IF($E$1149=3,($N786),IF($E$1149=4,($O786),IF($E$1149=5,($P786),IF($E$1149=6,($Q786),IF($E$1149=7,($R786),IF($E$1149=8,($S786),0))))))))</f>
        <v>0</v>
      </c>
      <c r="H786" s="48">
        <f>IF($G$1059&lt;&gt;0,($G786)*(H$1059/$G$1059),0)</f>
        <v>0</v>
      </c>
      <c r="I786" s="48">
        <f>IF($G$1059&lt;&gt;0,($G786)*(I$1059/$G$1059),0)</f>
        <v>0</v>
      </c>
      <c r="J786" s="20">
        <f t="shared" ref="J786" si="291">IF($E$1149=1,($G786),IF($E$1149=2,($G786),IF($E$1149=3,0,IF($E$1149=4,($H786),IF($E$1149=5,($I786),0)))))</f>
        <v>0</v>
      </c>
      <c r="L786" s="21">
        <v>43529974</v>
      </c>
      <c r="M786" s="21">
        <v>0</v>
      </c>
      <c r="N786" s="21">
        <v>0</v>
      </c>
      <c r="O786" s="21">
        <v>0</v>
      </c>
      <c r="P786" s="21">
        <v>43529974</v>
      </c>
      <c r="Q786" s="21">
        <v>0</v>
      </c>
      <c r="R786" s="21">
        <v>0</v>
      </c>
      <c r="S786" s="21">
        <v>0</v>
      </c>
    </row>
    <row r="787" spans="1:19" x14ac:dyDescent="0.2">
      <c r="A787" s="13">
        <f t="shared" si="281"/>
        <v>787</v>
      </c>
      <c r="B787" s="3" t="s">
        <v>448</v>
      </c>
      <c r="C787" s="3"/>
      <c r="D787" s="43"/>
      <c r="E787" s="44" t="str">
        <f>E1059</f>
        <v>P101P</v>
      </c>
      <c r="F787" s="45"/>
      <c r="G787" s="21">
        <f>IF($E$1149=1,($L787),IF($E$1149=2,($M787),IF($E$1149=3,($N787),IF($E$1149=4,($O787),IF($E$1149=5,($P787),IF($E$1149=6,($Q787),IF($E$1149=7,($R787),IF($E$1149=8,($S787),0))))))))</f>
        <v>-22327169</v>
      </c>
      <c r="H787" s="48">
        <f>IF($G$1059&lt;&gt;0,($G787)*(H$1059/$G$1059),0)</f>
        <v>-21416689.98091381</v>
      </c>
      <c r="I787" s="48">
        <f>IF($G$1059&lt;&gt;0,($G787)*(I$1059/$G$1059),0)</f>
        <v>-910479.01908618759</v>
      </c>
      <c r="L787" s="21">
        <v>-22460780</v>
      </c>
      <c r="M787" s="21">
        <v>-22460780</v>
      </c>
      <c r="N787" s="21">
        <v>-22460780</v>
      </c>
      <c r="O787" s="21">
        <v>-22460780</v>
      </c>
      <c r="P787" s="21">
        <v>-22460780</v>
      </c>
      <c r="Q787" s="21">
        <v>-22460780</v>
      </c>
      <c r="R787" s="21">
        <v>-22327169</v>
      </c>
      <c r="S787" s="21">
        <v>-22460780</v>
      </c>
    </row>
    <row r="788" spans="1:19" x14ac:dyDescent="0.2">
      <c r="A788" s="13">
        <f t="shared" si="281"/>
        <v>788</v>
      </c>
      <c r="B788" s="3" t="s">
        <v>449</v>
      </c>
      <c r="C788" s="3"/>
      <c r="D788" s="43" t="s">
        <v>508</v>
      </c>
      <c r="E788" s="44">
        <f>A766</f>
        <v>766</v>
      </c>
      <c r="F788" s="45"/>
      <c r="G788" s="21">
        <f>IF($E$1149=1,($L788),IF($E$1149=2,($M788),IF($E$1149=3,($N788),IF($E$1149=4,($O788),IF($E$1149=5,($P788),IF($E$1149=6,($Q788),IF($E$1149=7,($R788),IF($E$1149=8,($S788),0))))))))</f>
        <v>-10712119</v>
      </c>
      <c r="H788" s="48">
        <f>IF($G$766&lt;&gt;0,($G788)*(H$766/$G$766),0)</f>
        <v>-10156339.305554865</v>
      </c>
      <c r="I788" s="48">
        <f>IF($G$766&lt;&gt;0,($G788)*(I$766/$G$766),0)</f>
        <v>-555779.69444513589</v>
      </c>
      <c r="L788" s="21">
        <v>-29484842</v>
      </c>
      <c r="M788" s="21">
        <v>-10712119</v>
      </c>
      <c r="N788" s="21">
        <v>-10712119</v>
      </c>
      <c r="O788" s="21">
        <v>-10712119</v>
      </c>
      <c r="P788" s="21">
        <v>-29484842</v>
      </c>
      <c r="Q788" s="21">
        <v>-10712119</v>
      </c>
      <c r="R788" s="21">
        <v>-10712119</v>
      </c>
      <c r="S788" s="21">
        <v>-10712119</v>
      </c>
    </row>
    <row r="789" spans="1:19" x14ac:dyDescent="0.2">
      <c r="A789" s="13">
        <f t="shared" si="281"/>
        <v>789</v>
      </c>
      <c r="B789" s="3"/>
      <c r="C789" s="3" t="s">
        <v>528</v>
      </c>
      <c r="D789" s="43"/>
      <c r="E789" s="44"/>
      <c r="F789" s="45"/>
      <c r="G789" s="46">
        <f>SUM(G786:G788)</f>
        <v>-33039288</v>
      </c>
      <c r="H789" s="46">
        <f t="shared" ref="H789:I789" si="292">SUM(H786:H788)</f>
        <v>-31573029.286468677</v>
      </c>
      <c r="I789" s="46">
        <f t="shared" si="292"/>
        <v>-1466258.7135313235</v>
      </c>
      <c r="J789" s="20">
        <f t="shared" ref="J789" si="293">IF($E$1149=1,($G789),IF($E$1149=2,($G789),IF($E$1149=3,0,IF($E$1149=4,($H789),IF($E$1149=5,($I789),0)))))</f>
        <v>0</v>
      </c>
      <c r="L789" s="21">
        <v>43529974</v>
      </c>
      <c r="M789" s="21">
        <v>0</v>
      </c>
      <c r="N789" s="21">
        <v>0</v>
      </c>
      <c r="O789" s="21">
        <v>0</v>
      </c>
      <c r="P789" s="21">
        <v>43529974</v>
      </c>
      <c r="Q789" s="21">
        <v>0</v>
      </c>
      <c r="R789" s="21">
        <v>0</v>
      </c>
      <c r="S789" s="21">
        <v>0</v>
      </c>
    </row>
    <row r="790" spans="1:19" x14ac:dyDescent="0.2">
      <c r="A790" s="13">
        <f t="shared" si="281"/>
        <v>790</v>
      </c>
      <c r="B790" s="4"/>
      <c r="C790" s="4" t="s">
        <v>529</v>
      </c>
      <c r="D790" s="43"/>
      <c r="E790" s="44"/>
      <c r="F790" s="45"/>
      <c r="G790" s="42">
        <f>SUM(H790:I790)</f>
        <v>-6938250.4800000004</v>
      </c>
      <c r="H790" s="46">
        <f>H789*0.21</f>
        <v>-6630336.1501584221</v>
      </c>
      <c r="I790" s="46">
        <f>I789*0.21</f>
        <v>-307914.32984157791</v>
      </c>
    </row>
    <row r="791" spans="1:19" x14ac:dyDescent="0.2">
      <c r="A791" s="13">
        <f t="shared" si="281"/>
        <v>791</v>
      </c>
      <c r="B791" s="4"/>
      <c r="C791" s="4"/>
      <c r="D791" s="43"/>
      <c r="E791" s="44"/>
      <c r="F791" s="45"/>
      <c r="H791" s="46"/>
      <c r="I791" s="46"/>
    </row>
    <row r="792" spans="1:19" x14ac:dyDescent="0.2">
      <c r="A792" s="13">
        <f t="shared" si="281"/>
        <v>792</v>
      </c>
      <c r="B792" s="4" t="s">
        <v>433</v>
      </c>
      <c r="C792" s="4"/>
      <c r="D792" s="43"/>
      <c r="E792" s="44"/>
      <c r="F792" s="45"/>
      <c r="G792" s="42">
        <f>SUM(H792:I792)</f>
        <v>4948472.5408063969</v>
      </c>
      <c r="H792" s="46">
        <f>H790+H783</f>
        <v>4538977.4670740031</v>
      </c>
      <c r="I792" s="46">
        <f t="shared" ref="I792" si="294">I790+I783</f>
        <v>409495.07373239344</v>
      </c>
    </row>
    <row r="793" spans="1:19" x14ac:dyDescent="0.2">
      <c r="A793" s="13">
        <f t="shared" si="281"/>
        <v>793</v>
      </c>
      <c r="B793" s="38" t="str">
        <f>"* * * TABLE 11 - OREGON STATE INCOME TAXES * * *"</f>
        <v>* * * TABLE 11 - OREGON STATE INCOME TAXES * * *</v>
      </c>
      <c r="C793" s="4"/>
      <c r="D793" s="43"/>
      <c r="E793" s="44"/>
      <c r="F793" s="45"/>
      <c r="L793" s="21">
        <v>0</v>
      </c>
      <c r="M793" s="21">
        <v>0</v>
      </c>
      <c r="N793" s="21">
        <v>0</v>
      </c>
      <c r="O793" s="21">
        <v>0</v>
      </c>
      <c r="P793" s="21">
        <v>0</v>
      </c>
      <c r="Q793" s="21">
        <v>0</v>
      </c>
      <c r="R793" s="21">
        <v>0</v>
      </c>
      <c r="S793" s="21">
        <v>0</v>
      </c>
    </row>
    <row r="794" spans="1:19" x14ac:dyDescent="0.2">
      <c r="A794" s="13">
        <f t="shared" si="281"/>
        <v>794</v>
      </c>
      <c r="B794" s="4" t="s">
        <v>35</v>
      </c>
      <c r="C794" s="4"/>
      <c r="D794" s="43" t="s">
        <v>5</v>
      </c>
      <c r="E794" s="44" t="s">
        <v>5</v>
      </c>
      <c r="F794" s="45"/>
      <c r="L794" s="21">
        <v>0</v>
      </c>
      <c r="M794" s="21">
        <v>0</v>
      </c>
      <c r="N794" s="21">
        <v>0</v>
      </c>
      <c r="O794" s="21">
        <v>0</v>
      </c>
      <c r="P794" s="21">
        <v>0</v>
      </c>
      <c r="Q794" s="21">
        <v>0</v>
      </c>
      <c r="R794" s="21">
        <v>0</v>
      </c>
      <c r="S794" s="21">
        <v>0</v>
      </c>
    </row>
    <row r="795" spans="1:19" x14ac:dyDescent="0.2">
      <c r="A795" s="13">
        <f t="shared" si="281"/>
        <v>795</v>
      </c>
      <c r="B795" s="4" t="s">
        <v>452</v>
      </c>
      <c r="C795" s="4"/>
      <c r="D795" s="43" t="s">
        <v>508</v>
      </c>
      <c r="E795" s="44">
        <f>A773</f>
        <v>773</v>
      </c>
      <c r="F795" s="45"/>
      <c r="G795" s="42">
        <f>SUM(H795:I795)</f>
        <v>102833233.89061548</v>
      </c>
      <c r="H795" s="42">
        <f t="shared" ref="H795:I795" si="295">(H773)</f>
        <v>96452861.918985635</v>
      </c>
      <c r="I795" s="42">
        <f t="shared" si="295"/>
        <v>6380371.9716298422</v>
      </c>
      <c r="J795" s="20">
        <f t="shared" ref="J795" si="296">IF($E$1149=1,($G795),IF($E$1149=2,($G795),IF($E$1149=3,0,IF($E$1149=4,($H795),IF($E$1149=5,($I795),0)))))</f>
        <v>0</v>
      </c>
      <c r="L795" s="21">
        <v>0</v>
      </c>
      <c r="M795" s="21">
        <v>0</v>
      </c>
      <c r="N795" s="21">
        <v>0</v>
      </c>
      <c r="O795" s="21">
        <v>0</v>
      </c>
      <c r="P795" s="21">
        <v>0</v>
      </c>
      <c r="Q795" s="21">
        <v>0</v>
      </c>
      <c r="R795" s="21">
        <v>0</v>
      </c>
      <c r="S795" s="21">
        <v>0</v>
      </c>
    </row>
    <row r="796" spans="1:19" x14ac:dyDescent="0.2">
      <c r="A796" s="13">
        <f t="shared" si="281"/>
        <v>796</v>
      </c>
      <c r="B796" s="4" t="s">
        <v>35</v>
      </c>
      <c r="C796" s="4"/>
      <c r="D796" s="43" t="s">
        <v>5</v>
      </c>
      <c r="E796" s="44" t="s">
        <v>5</v>
      </c>
      <c r="F796" s="45"/>
      <c r="L796" s="21">
        <v>0</v>
      </c>
      <c r="M796" s="21">
        <v>0</v>
      </c>
      <c r="N796" s="21">
        <v>0</v>
      </c>
      <c r="O796" s="21">
        <v>0</v>
      </c>
      <c r="P796" s="21">
        <v>0</v>
      </c>
      <c r="Q796" s="21">
        <v>0</v>
      </c>
      <c r="R796" s="21">
        <v>0</v>
      </c>
      <c r="S796" s="21">
        <v>0</v>
      </c>
    </row>
    <row r="797" spans="1:19" x14ac:dyDescent="0.2">
      <c r="A797" s="13">
        <f t="shared" si="281"/>
        <v>797</v>
      </c>
      <c r="B797" s="4" t="s">
        <v>447</v>
      </c>
      <c r="C797" s="4"/>
      <c r="D797" s="43"/>
      <c r="E797" s="44" t="str">
        <f>E1059</f>
        <v>P101P</v>
      </c>
      <c r="F797" s="45"/>
      <c r="G797" s="21">
        <f>IF($E$1149=1,($L797),IF($E$1149=2,($M797),IF($E$1149=3,($N797),IF($E$1149=4,($O797),IF($E$1149=5,($P797),IF($E$1149=6,($Q797),IF($E$1149=7,($R797),IF($E$1149=8,($S797),0))))))))</f>
        <v>0</v>
      </c>
      <c r="H797" s="42">
        <f>IF($G$1059&lt;&gt;0,($G797)*(H$1059/$G$1059),0)</f>
        <v>0</v>
      </c>
      <c r="I797" s="42">
        <f>IF($G$1059&lt;&gt;0,($G797)*(I$1059/$G$1059),0)</f>
        <v>0</v>
      </c>
      <c r="J797" s="20">
        <f t="shared" ref="J797" si="297">IF($E$1149=1,($G797),IF($E$1149=2,($G797),IF($E$1149=3,0,IF($E$1149=4,($H797),IF($E$1149=5,($I797),0)))))</f>
        <v>0</v>
      </c>
      <c r="L797" s="21">
        <v>43529974</v>
      </c>
      <c r="M797" s="21">
        <v>0</v>
      </c>
      <c r="N797" s="21">
        <v>0</v>
      </c>
      <c r="O797" s="21">
        <v>0</v>
      </c>
      <c r="P797" s="21">
        <v>43529974</v>
      </c>
      <c r="Q797" s="21">
        <v>0</v>
      </c>
      <c r="R797" s="21">
        <v>0</v>
      </c>
      <c r="S797" s="21">
        <v>0</v>
      </c>
    </row>
    <row r="798" spans="1:19" x14ac:dyDescent="0.2">
      <c r="A798" s="13">
        <f t="shared" si="281"/>
        <v>798</v>
      </c>
      <c r="B798" s="3"/>
      <c r="C798" s="3"/>
      <c r="D798" s="43"/>
      <c r="E798" s="44"/>
      <c r="F798" s="45"/>
      <c r="G798" s="21"/>
    </row>
    <row r="799" spans="1:19" x14ac:dyDescent="0.2">
      <c r="A799" s="13">
        <f t="shared" si="281"/>
        <v>799</v>
      </c>
      <c r="B799" s="3" t="s">
        <v>453</v>
      </c>
      <c r="C799" s="3"/>
      <c r="D799" s="43"/>
      <c r="E799" s="44" t="str">
        <f>E1059</f>
        <v>P101P</v>
      </c>
      <c r="F799" s="45"/>
      <c r="G799" s="21">
        <f>IF($E$1149=1,($L799),IF($E$1149=2,($M799),IF($E$1149=3,($N799),IF($E$1149=4,($O799),IF($E$1149=5,($P799),IF($E$1149=6,($Q799),IF($E$1149=7,($R799),IF($E$1149=8,($S799),0))))))))</f>
        <v>-22327169</v>
      </c>
      <c r="H799" s="42">
        <f>IF($G$1059&lt;&gt;0,($G799)*(H$1059/$G$1059),0)</f>
        <v>-21416689.98091381</v>
      </c>
      <c r="I799" s="42">
        <f>IF($G$1059&lt;&gt;0,($G799)*(I$1059/$G$1059),0)</f>
        <v>-910479.01908618759</v>
      </c>
      <c r="L799" s="21">
        <v>-22460780</v>
      </c>
      <c r="M799" s="21">
        <v>-22460780</v>
      </c>
      <c r="N799" s="21">
        <v>-22460780</v>
      </c>
      <c r="O799" s="21">
        <v>-22460780</v>
      </c>
      <c r="P799" s="21">
        <v>-22460780</v>
      </c>
      <c r="Q799" s="21">
        <v>-22460780</v>
      </c>
      <c r="R799" s="21">
        <v>-22327169</v>
      </c>
      <c r="S799" s="21">
        <v>-22460780</v>
      </c>
    </row>
    <row r="800" spans="1:19" x14ac:dyDescent="0.2">
      <c r="A800" s="13">
        <f t="shared" si="281"/>
        <v>800</v>
      </c>
      <c r="B800" s="3" t="s">
        <v>454</v>
      </c>
      <c r="C800" s="3"/>
      <c r="D800" s="43" t="s">
        <v>508</v>
      </c>
      <c r="E800" s="44">
        <f>A766</f>
        <v>766</v>
      </c>
      <c r="F800" s="45"/>
      <c r="G800" s="21">
        <f>IF($E$1149=1,($L800),IF($E$1149=2,($M800),IF($E$1149=3,($N800),IF($E$1149=4,($O800),IF($E$1149=5,($P800),IF($E$1149=6,($Q800),IF($E$1149=7,($R800),IF($E$1149=8,($S800),0))))))))</f>
        <v>-10712119</v>
      </c>
      <c r="H800" s="42">
        <f>IF($G$766&lt;&gt;0,($G800)*(H$766/$G$766),0)</f>
        <v>-10156339.305554865</v>
      </c>
      <c r="I800" s="42">
        <f>IF($G$766&lt;&gt;0,($G800)*(I$766/$G$766),0)</f>
        <v>-555779.69444513589</v>
      </c>
      <c r="L800" s="21">
        <v>-29484842</v>
      </c>
      <c r="M800" s="21">
        <v>-10712119</v>
      </c>
      <c r="N800" s="21">
        <v>-10712119</v>
      </c>
      <c r="O800" s="21">
        <v>-10712119</v>
      </c>
      <c r="P800" s="21">
        <v>-29484842</v>
      </c>
      <c r="Q800" s="21">
        <v>-10712119</v>
      </c>
      <c r="R800" s="21">
        <v>-10712119</v>
      </c>
      <c r="S800" s="21">
        <v>-10712119</v>
      </c>
    </row>
    <row r="801" spans="1:19" x14ac:dyDescent="0.2">
      <c r="A801" s="13">
        <f t="shared" si="281"/>
        <v>801</v>
      </c>
      <c r="B801" s="3"/>
      <c r="C801" s="3" t="s">
        <v>455</v>
      </c>
      <c r="D801" s="43"/>
      <c r="E801" s="44"/>
      <c r="F801" s="45"/>
      <c r="G801" s="21">
        <f>SUM(G799:G800)</f>
        <v>-33039288</v>
      </c>
      <c r="H801" s="42">
        <f>SUM(H799:H800)</f>
        <v>-31573029.286468677</v>
      </c>
      <c r="I801" s="42">
        <f t="shared" ref="I801" si="298">SUM(I799:I800)</f>
        <v>-1466258.7135313235</v>
      </c>
      <c r="J801" s="20">
        <f t="shared" ref="J801:J817" si="299">IF($E$1149=1,($G801),IF($E$1149=2,($G801),IF($E$1149=3,0,IF($E$1149=4,($H801),IF($E$1149=5,($I801),0)))))</f>
        <v>0</v>
      </c>
      <c r="L801" s="21">
        <v>-51945622</v>
      </c>
      <c r="M801" s="21">
        <v>-33172899</v>
      </c>
      <c r="N801" s="21">
        <v>-33172899</v>
      </c>
      <c r="O801" s="21">
        <v>-33172899</v>
      </c>
      <c r="P801" s="21">
        <v>-51945622</v>
      </c>
      <c r="Q801" s="21">
        <v>-33172899</v>
      </c>
      <c r="R801" s="21">
        <v>-33039288</v>
      </c>
      <c r="S801" s="21">
        <v>-33172899</v>
      </c>
    </row>
    <row r="802" spans="1:19" x14ac:dyDescent="0.2">
      <c r="A802" s="13">
        <f t="shared" si="281"/>
        <v>802</v>
      </c>
      <c r="B802" s="4" t="s">
        <v>35</v>
      </c>
      <c r="C802" s="4" t="s">
        <v>456</v>
      </c>
      <c r="D802" s="43" t="s">
        <v>508</v>
      </c>
      <c r="E802" s="44">
        <f>A766</f>
        <v>766</v>
      </c>
      <c r="F802" s="45"/>
      <c r="G802" s="21">
        <f>IF($E$1149=1,($L802),IF($E$1149=2,($M802),IF($E$1149=3,($N802),IF($E$1149=4,($O802),IF($E$1149=5,($P802),IF($E$1149=6,($Q802),IF($E$1149=7,($R802),IF($E$1149=8,($S802),0))))))))</f>
        <v>0</v>
      </c>
      <c r="H802" s="42">
        <f>IF($G$766&lt;&gt;0,($G802)*(H$766/$G$766),0)</f>
        <v>0</v>
      </c>
      <c r="I802" s="42">
        <f>IF($G$766&lt;&gt;0,($G802)*(I$766/$G$766),0)</f>
        <v>0</v>
      </c>
      <c r="J802" s="20">
        <f t="shared" si="299"/>
        <v>0</v>
      </c>
      <c r="L802" s="21">
        <v>0</v>
      </c>
      <c r="M802" s="21">
        <v>0</v>
      </c>
      <c r="N802" s="21">
        <v>0</v>
      </c>
      <c r="O802" s="21">
        <v>0</v>
      </c>
      <c r="P802" s="21">
        <v>0</v>
      </c>
      <c r="Q802" s="21">
        <v>0</v>
      </c>
      <c r="R802" s="21">
        <v>0</v>
      </c>
      <c r="S802" s="21">
        <v>0</v>
      </c>
    </row>
    <row r="803" spans="1:19" x14ac:dyDescent="0.2">
      <c r="A803" s="13">
        <f t="shared" si="281"/>
        <v>803</v>
      </c>
      <c r="B803" s="4" t="s">
        <v>5</v>
      </c>
      <c r="C803" s="4" t="s">
        <v>5</v>
      </c>
      <c r="D803" s="43" t="s">
        <v>5</v>
      </c>
      <c r="E803" s="44" t="s">
        <v>5</v>
      </c>
      <c r="F803" s="45"/>
      <c r="G803" s="46"/>
      <c r="H803" s="46"/>
      <c r="I803" s="46"/>
      <c r="J803" s="20">
        <f t="shared" si="299"/>
        <v>0</v>
      </c>
      <c r="L803" s="21">
        <v>0</v>
      </c>
      <c r="M803" s="21">
        <v>0</v>
      </c>
      <c r="N803" s="21">
        <v>0</v>
      </c>
      <c r="O803" s="21">
        <v>0</v>
      </c>
      <c r="P803" s="21">
        <v>0</v>
      </c>
      <c r="Q803" s="21">
        <v>0</v>
      </c>
      <c r="R803" s="21">
        <v>0</v>
      </c>
      <c r="S803" s="21">
        <v>0</v>
      </c>
    </row>
    <row r="804" spans="1:19" x14ac:dyDescent="0.2">
      <c r="A804" s="13">
        <f t="shared" si="281"/>
        <v>804</v>
      </c>
      <c r="B804" s="4" t="s">
        <v>457</v>
      </c>
      <c r="C804" s="4"/>
      <c r="D804" s="43" t="s">
        <v>5</v>
      </c>
      <c r="E804" s="44" t="s">
        <v>5</v>
      </c>
      <c r="F804" s="45"/>
      <c r="G804" s="46">
        <f>SUM(H804:I804)</f>
        <v>-33039288</v>
      </c>
      <c r="H804" s="46">
        <f>SUM(H797,H801,H802)</f>
        <v>-31573029.286468677</v>
      </c>
      <c r="I804" s="46">
        <f t="shared" ref="I804" si="300">SUM(I797,I801,I802)</f>
        <v>-1466258.7135313235</v>
      </c>
      <c r="J804" s="20">
        <f t="shared" si="299"/>
        <v>0</v>
      </c>
      <c r="L804" s="21">
        <v>0</v>
      </c>
      <c r="M804" s="21">
        <v>0</v>
      </c>
      <c r="N804" s="21">
        <v>0</v>
      </c>
      <c r="O804" s="21">
        <v>0</v>
      </c>
      <c r="P804" s="21">
        <v>0</v>
      </c>
      <c r="Q804" s="21">
        <v>0</v>
      </c>
      <c r="R804" s="21">
        <v>0</v>
      </c>
      <c r="S804" s="21">
        <v>0</v>
      </c>
    </row>
    <row r="805" spans="1:19" x14ac:dyDescent="0.2">
      <c r="A805" s="13">
        <f t="shared" si="281"/>
        <v>805</v>
      </c>
      <c r="B805" s="4" t="s">
        <v>35</v>
      </c>
      <c r="C805" s="4"/>
      <c r="D805" s="43" t="s">
        <v>5</v>
      </c>
      <c r="E805" s="44" t="s">
        <v>5</v>
      </c>
      <c r="F805" s="45"/>
      <c r="G805" s="46"/>
      <c r="H805" s="46"/>
      <c r="I805" s="46"/>
      <c r="L805" s="21">
        <v>0</v>
      </c>
      <c r="M805" s="21">
        <v>0</v>
      </c>
      <c r="N805" s="21">
        <v>0</v>
      </c>
      <c r="O805" s="21">
        <v>0</v>
      </c>
      <c r="P805" s="21">
        <v>0</v>
      </c>
      <c r="Q805" s="21">
        <v>0</v>
      </c>
      <c r="R805" s="21">
        <v>0</v>
      </c>
      <c r="S805" s="21">
        <v>0</v>
      </c>
    </row>
    <row r="806" spans="1:19" x14ac:dyDescent="0.2">
      <c r="A806" s="13">
        <f t="shared" si="281"/>
        <v>806</v>
      </c>
      <c r="B806" s="4" t="s">
        <v>458</v>
      </c>
      <c r="C806" s="4"/>
      <c r="D806" s="43" t="s">
        <v>5</v>
      </c>
      <c r="E806" s="44" t="s">
        <v>5</v>
      </c>
      <c r="F806" s="45"/>
      <c r="G806" s="46">
        <f>SUM(H806:I806)</f>
        <v>69793945.890615478</v>
      </c>
      <c r="H806" s="46">
        <f t="shared" ref="H806:I806" si="301">SUM(H795+H804)</f>
        <v>64879832.632516958</v>
      </c>
      <c r="I806" s="46">
        <f t="shared" si="301"/>
        <v>4914113.2580985185</v>
      </c>
      <c r="J806" s="20">
        <f t="shared" si="299"/>
        <v>0</v>
      </c>
      <c r="L806" s="21">
        <v>0</v>
      </c>
      <c r="M806" s="21">
        <v>0</v>
      </c>
      <c r="N806" s="21">
        <v>0</v>
      </c>
      <c r="O806" s="21">
        <v>0</v>
      </c>
      <c r="P806" s="21">
        <v>0</v>
      </c>
      <c r="Q806" s="21">
        <v>0</v>
      </c>
      <c r="R806" s="21">
        <v>0</v>
      </c>
      <c r="S806" s="21">
        <v>0</v>
      </c>
    </row>
    <row r="807" spans="1:19" x14ac:dyDescent="0.2">
      <c r="A807" s="13">
        <f t="shared" si="281"/>
        <v>807</v>
      </c>
      <c r="B807" s="4" t="s">
        <v>35</v>
      </c>
      <c r="C807" s="4" t="s">
        <v>39</v>
      </c>
      <c r="D807" s="43"/>
      <c r="E807" s="44"/>
      <c r="F807" s="45"/>
      <c r="L807" s="21">
        <v>0</v>
      </c>
      <c r="M807" s="21">
        <v>0</v>
      </c>
      <c r="N807" s="21">
        <v>0</v>
      </c>
      <c r="O807" s="21">
        <v>0</v>
      </c>
      <c r="P807" s="21">
        <v>0</v>
      </c>
      <c r="Q807" s="21">
        <v>0</v>
      </c>
      <c r="R807" s="21">
        <v>0</v>
      </c>
      <c r="S807" s="21">
        <v>0</v>
      </c>
    </row>
    <row r="808" spans="1:19" x14ac:dyDescent="0.2">
      <c r="A808" s="13">
        <f t="shared" si="281"/>
        <v>808</v>
      </c>
      <c r="B808" s="4" t="s">
        <v>35</v>
      </c>
      <c r="C808" s="4" t="s">
        <v>459</v>
      </c>
      <c r="D808" s="43"/>
      <c r="E808" s="44" t="str">
        <f>E1010</f>
        <v>E10</v>
      </c>
      <c r="F808" s="45"/>
      <c r="G808" s="21">
        <f>IF($E$1149=1,($L808),IF($E$1149=2,($M808),IF($E$1149=3,($N808),IF($E$1149=4,($O808),IF($E$1149=5,($P808),IF($E$1149=6,($Q808),IF($E$1149=7,($R808),IF($E$1149=8,($S808),0))))))))</f>
        <v>30171135</v>
      </c>
      <c r="H808" s="48">
        <f>IF($G$1010&lt;&gt;0,($G$808*(H$1010/$G$1010)),0)</f>
        <v>28838094.131090622</v>
      </c>
      <c r="I808" s="48">
        <f>IF($G$1010&lt;&gt;0,($G$808*(I$1010/$G$1010)),0)</f>
        <v>1333040.8689093788</v>
      </c>
      <c r="J808" s="20">
        <f t="shared" si="299"/>
        <v>0</v>
      </c>
      <c r="L808" s="21">
        <v>30171135</v>
      </c>
      <c r="M808" s="21">
        <v>30171135</v>
      </c>
      <c r="N808" s="21">
        <v>30171135</v>
      </c>
      <c r="O808" s="21">
        <v>30171135</v>
      </c>
      <c r="P808" s="21">
        <v>30171135</v>
      </c>
      <c r="Q808" s="21">
        <v>30171135</v>
      </c>
      <c r="R808" s="21">
        <v>30171135</v>
      </c>
      <c r="S808" s="21">
        <v>30171135</v>
      </c>
    </row>
    <row r="809" spans="1:19" x14ac:dyDescent="0.2">
      <c r="A809" s="13">
        <f t="shared" si="281"/>
        <v>809</v>
      </c>
      <c r="B809" s="4"/>
      <c r="C809" s="4" t="s">
        <v>460</v>
      </c>
      <c r="D809" s="43"/>
      <c r="E809" s="44" t="str">
        <f>E1059</f>
        <v>P101P</v>
      </c>
      <c r="F809" s="45"/>
      <c r="G809" s="21">
        <f>IF($E$1149=1,($L809),IF($E$1149=2,($M809),IF($E$1149=3,($N809),IF($E$1149=4,($O809),IF($E$1149=5,($P809),IF($E$1149=6,($Q809),IF($E$1149=7,($R809),IF($E$1149=8,($S809),0))))))))</f>
        <v>-5820659</v>
      </c>
      <c r="H809" s="48">
        <f>IF($G$1059&lt;&gt;0,($G$809*(H$1059/$G$1059)),0)</f>
        <v>-5583298.504508825</v>
      </c>
      <c r="I809" s="48">
        <f>IF($G$1059&lt;&gt;0,($G$809*(I$1059/$G$1059)),0)</f>
        <v>-237360.49549117446</v>
      </c>
      <c r="J809" s="20">
        <f t="shared" si="299"/>
        <v>0</v>
      </c>
      <c r="L809" s="21">
        <v>-5820659</v>
      </c>
      <c r="M809" s="21">
        <v>-5820659</v>
      </c>
      <c r="N809" s="21">
        <v>-5820659</v>
      </c>
      <c r="O809" s="21">
        <v>-5820659</v>
      </c>
      <c r="P809" s="21">
        <v>-5820659</v>
      </c>
      <c r="Q809" s="21">
        <v>-5820659</v>
      </c>
      <c r="R809" s="21">
        <v>-5820659</v>
      </c>
      <c r="S809" s="21">
        <v>-5820659</v>
      </c>
    </row>
    <row r="810" spans="1:19" x14ac:dyDescent="0.2">
      <c r="A810" s="13">
        <f t="shared" si="281"/>
        <v>810</v>
      </c>
      <c r="B810" s="4" t="s">
        <v>35</v>
      </c>
      <c r="C810" s="4" t="s">
        <v>461</v>
      </c>
      <c r="D810" s="43" t="s">
        <v>508</v>
      </c>
      <c r="E810" s="44">
        <v>750</v>
      </c>
      <c r="F810" s="45"/>
      <c r="G810" s="21">
        <f>IF($E$1149=1,($L810),IF($E$1149=2,($M810),IF($E$1149=3,($N810),IF($E$1149=4,($O810),IF($E$1149=5,($P810),IF($E$1149=6,($Q810),IF($E$1149=7,($R810),IF($E$1149=8,($S810),0))))))))</f>
        <v>0</v>
      </c>
      <c r="H810" s="48">
        <f>IF($G$766&lt;&gt;0,($G$810*(H$766/$G$766)),0)</f>
        <v>0</v>
      </c>
      <c r="I810" s="48">
        <f>IF($G$766&lt;&gt;0,($G$810*(I$766/$G$766)),0)</f>
        <v>0</v>
      </c>
      <c r="J810" s="20">
        <f t="shared" si="299"/>
        <v>0</v>
      </c>
      <c r="L810" s="21">
        <v>0</v>
      </c>
      <c r="M810" s="21">
        <v>0</v>
      </c>
      <c r="N810" s="21">
        <v>0</v>
      </c>
      <c r="O810" s="21">
        <v>0</v>
      </c>
      <c r="P810" s="21">
        <v>0</v>
      </c>
      <c r="Q810" s="21">
        <v>0</v>
      </c>
      <c r="R810" s="21">
        <v>0</v>
      </c>
      <c r="S810" s="21">
        <v>0</v>
      </c>
    </row>
    <row r="811" spans="1:19" x14ac:dyDescent="0.2">
      <c r="A811" s="13">
        <f t="shared" si="281"/>
        <v>811</v>
      </c>
      <c r="B811" s="4" t="s">
        <v>462</v>
      </c>
      <c r="C811" s="4"/>
      <c r="D811" s="43" t="s">
        <v>5</v>
      </c>
      <c r="E811" s="44" t="s">
        <v>5</v>
      </c>
      <c r="F811" s="45"/>
      <c r="G811" s="46">
        <f>SUM(H811:I811)</f>
        <v>94144421.890615478</v>
      </c>
      <c r="H811" s="46">
        <f>SUM(H806:H810)</f>
        <v>88134628.259098753</v>
      </c>
      <c r="I811" s="46">
        <f>SUM(I806:I810)</f>
        <v>6009793.631516723</v>
      </c>
      <c r="J811" s="20">
        <f t="shared" si="299"/>
        <v>0</v>
      </c>
      <c r="L811" s="21">
        <v>0</v>
      </c>
      <c r="M811" s="21">
        <v>0</v>
      </c>
      <c r="N811" s="21">
        <v>0</v>
      </c>
      <c r="O811" s="21">
        <v>0</v>
      </c>
      <c r="P811" s="21">
        <v>0</v>
      </c>
      <c r="Q811" s="21">
        <v>0</v>
      </c>
      <c r="R811" s="21">
        <v>0</v>
      </c>
      <c r="S811" s="21">
        <v>0</v>
      </c>
    </row>
    <row r="812" spans="1:19" x14ac:dyDescent="0.2">
      <c r="A812" s="13">
        <f t="shared" si="281"/>
        <v>812</v>
      </c>
      <c r="B812" s="4"/>
      <c r="C812" s="4" t="s">
        <v>530</v>
      </c>
      <c r="D812" s="43" t="s">
        <v>5</v>
      </c>
      <c r="E812" s="44" t="s">
        <v>5</v>
      </c>
      <c r="F812" s="45"/>
      <c r="G812" s="46">
        <f>SUM(H812:I812)</f>
        <v>4279292.3320480762</v>
      </c>
      <c r="H812" s="46">
        <f>IF(H811&lt;0, 0,(H811*0.04545455))</f>
        <v>4006119.8669346175</v>
      </c>
      <c r="I812" s="46">
        <f>IF(I811&lt;0, 0,(I811*0.04545455))</f>
        <v>273172.46511345846</v>
      </c>
      <c r="J812" s="20">
        <f t="shared" si="299"/>
        <v>0</v>
      </c>
      <c r="L812" s="21">
        <v>0</v>
      </c>
      <c r="M812" s="21">
        <v>0</v>
      </c>
      <c r="N812" s="21">
        <v>0</v>
      </c>
      <c r="O812" s="21">
        <v>0</v>
      </c>
      <c r="P812" s="21">
        <v>0</v>
      </c>
      <c r="Q812" s="21">
        <v>0</v>
      </c>
      <c r="R812" s="21">
        <v>0</v>
      </c>
      <c r="S812" s="21">
        <v>0</v>
      </c>
    </row>
    <row r="813" spans="1:19" x14ac:dyDescent="0.2">
      <c r="A813" s="13">
        <f t="shared" si="281"/>
        <v>813</v>
      </c>
      <c r="B813" s="4" t="s">
        <v>35</v>
      </c>
      <c r="C813" s="4" t="s">
        <v>463</v>
      </c>
      <c r="D813" s="43" t="s">
        <v>508</v>
      </c>
      <c r="E813" s="44">
        <v>757</v>
      </c>
      <c r="F813" s="45"/>
      <c r="G813" s="21">
        <f>IF($E$1149=1,($L813),IF($E$1149=2,($M813),IF($E$1149=3,($N813),IF($E$1149=4,($O813),IF($E$1149=5,($P813),IF($E$1149=6,($Q813),IF($E$1149=7,($R813),IF($E$1149=8,($S813),0))))))))</f>
        <v>0</v>
      </c>
      <c r="H813" s="48">
        <f>IF($G$766&lt;&gt;0,($G$813*(H$766/$G$766)),0)</f>
        <v>0</v>
      </c>
      <c r="I813" s="48">
        <f>IF($G$766&lt;&gt;0,($G$813*(I$766/$G$766)),0)</f>
        <v>0</v>
      </c>
      <c r="J813" s="20">
        <f t="shared" si="299"/>
        <v>0</v>
      </c>
      <c r="L813" s="21">
        <v>0</v>
      </c>
      <c r="M813" s="21">
        <v>0</v>
      </c>
      <c r="N813" s="21">
        <v>0</v>
      </c>
      <c r="O813" s="21">
        <v>0</v>
      </c>
      <c r="P813" s="21">
        <v>0</v>
      </c>
      <c r="Q813" s="21">
        <v>0</v>
      </c>
      <c r="R813" s="21">
        <v>0</v>
      </c>
      <c r="S813" s="21">
        <v>0</v>
      </c>
    </row>
    <row r="814" spans="1:19" x14ac:dyDescent="0.2">
      <c r="A814" s="13">
        <f t="shared" si="281"/>
        <v>814</v>
      </c>
      <c r="B814" s="4" t="s">
        <v>464</v>
      </c>
      <c r="C814" s="4"/>
      <c r="D814" s="43" t="s">
        <v>5</v>
      </c>
      <c r="E814" s="44" t="s">
        <v>5</v>
      </c>
      <c r="F814" s="45"/>
      <c r="G814" s="46">
        <f>SUM(H814:I814)</f>
        <v>4279292.3320480762</v>
      </c>
      <c r="H814" s="46">
        <f>SUM(H812:H813)</f>
        <v>4006119.8669346175</v>
      </c>
      <c r="I814" s="46">
        <f>SUM(I812:I813)</f>
        <v>273172.46511345846</v>
      </c>
      <c r="J814" s="20">
        <f t="shared" si="299"/>
        <v>0</v>
      </c>
      <c r="L814" s="21">
        <v>11984784.648478338</v>
      </c>
      <c r="M814" s="21">
        <v>10181836.177134132</v>
      </c>
      <c r="N814" s="21">
        <v>10181836.177134132</v>
      </c>
      <c r="O814" s="21">
        <v>10181836.177134132</v>
      </c>
      <c r="P814" s="21">
        <v>11984509.865723588</v>
      </c>
      <c r="Q814" s="21">
        <v>10337339.545552028</v>
      </c>
      <c r="R814" s="21">
        <v>4279292.3350616256</v>
      </c>
      <c r="S814" s="21">
        <v>10181836.177134132</v>
      </c>
    </row>
    <row r="815" spans="1:19" x14ac:dyDescent="0.2">
      <c r="A815" s="13">
        <f t="shared" si="281"/>
        <v>815</v>
      </c>
      <c r="B815" s="4" t="s">
        <v>39</v>
      </c>
      <c r="C815" s="4"/>
      <c r="D815" s="43" t="s">
        <v>5</v>
      </c>
      <c r="E815" s="44" t="s">
        <v>5</v>
      </c>
      <c r="F815" s="45"/>
      <c r="L815" s="21">
        <v>0</v>
      </c>
      <c r="M815" s="21">
        <v>0</v>
      </c>
      <c r="N815" s="21">
        <v>0</v>
      </c>
      <c r="O815" s="21">
        <v>0</v>
      </c>
      <c r="P815" s="21">
        <v>0</v>
      </c>
      <c r="Q815" s="21">
        <v>0</v>
      </c>
      <c r="R815" s="21">
        <v>0</v>
      </c>
      <c r="S815" s="21">
        <v>0</v>
      </c>
    </row>
    <row r="816" spans="1:19" x14ac:dyDescent="0.2">
      <c r="A816" s="13">
        <f t="shared" si="281"/>
        <v>816</v>
      </c>
      <c r="B816" s="4" t="s">
        <v>531</v>
      </c>
      <c r="C816" s="4"/>
      <c r="D816" s="43" t="s">
        <v>5</v>
      </c>
      <c r="E816" s="44" t="s">
        <v>5</v>
      </c>
      <c r="F816" s="45"/>
      <c r="G816" s="46">
        <f>SUM(H816:I816)</f>
        <v>282433.29391517298</v>
      </c>
      <c r="H816" s="46">
        <f>IF(H814&lt;0, 0,(H814*0.066))</f>
        <v>264403.91121768474</v>
      </c>
      <c r="I816" s="46">
        <f>IF(I814&lt;0, 0,(I814*0.066))</f>
        <v>18029.382697488258</v>
      </c>
      <c r="J816" s="20">
        <f t="shared" si="299"/>
        <v>0</v>
      </c>
      <c r="L816" s="21">
        <v>0</v>
      </c>
      <c r="M816" s="21">
        <v>0</v>
      </c>
      <c r="N816" s="21">
        <v>0</v>
      </c>
      <c r="O816" s="21">
        <v>0</v>
      </c>
      <c r="P816" s="21">
        <v>0</v>
      </c>
      <c r="Q816" s="21">
        <v>0</v>
      </c>
      <c r="R816" s="21">
        <v>0</v>
      </c>
      <c r="S816" s="21">
        <v>0</v>
      </c>
    </row>
    <row r="817" spans="1:19" x14ac:dyDescent="0.2">
      <c r="A817" s="13">
        <f t="shared" si="281"/>
        <v>817</v>
      </c>
      <c r="B817" s="4" t="s">
        <v>35</v>
      </c>
      <c r="C817" s="4" t="s">
        <v>465</v>
      </c>
      <c r="D817" s="43"/>
      <c r="E817" s="44" t="str">
        <f>E1059</f>
        <v>P101P</v>
      </c>
      <c r="F817" s="45"/>
      <c r="G817" s="21">
        <f>IF($E$1149=1,($L817),IF($E$1149=2,($M817),IF($E$1149=3,($N817),IF($E$1149=4,($O817),IF($E$1149=5,($P817),IF($E$1149=6,($Q817),IF($E$1149=7,($R817),IF($E$1149=8,($S817),0))))))))</f>
        <v>0</v>
      </c>
      <c r="H817" s="48">
        <f>IF($G$1059&lt;&gt;0,($G$817*(H$1059/$G$1059)),0)</f>
        <v>0</v>
      </c>
      <c r="I817" s="48">
        <f>IF($G$1059&lt;&gt;0,($G$817*(I$1059/$G$1059)),0)</f>
        <v>0</v>
      </c>
      <c r="J817" s="20">
        <f t="shared" si="299"/>
        <v>0</v>
      </c>
      <c r="L817" s="21">
        <v>0</v>
      </c>
      <c r="M817" s="21">
        <v>0</v>
      </c>
      <c r="N817" s="21">
        <v>0</v>
      </c>
      <c r="O817" s="21">
        <v>0</v>
      </c>
      <c r="P817" s="21">
        <v>0</v>
      </c>
      <c r="Q817" s="21">
        <v>0</v>
      </c>
      <c r="R817" s="21">
        <v>0</v>
      </c>
      <c r="S817" s="21">
        <v>0</v>
      </c>
    </row>
    <row r="818" spans="1:19" x14ac:dyDescent="0.2">
      <c r="A818" s="13">
        <f t="shared" si="281"/>
        <v>818</v>
      </c>
      <c r="B818" s="4" t="s">
        <v>39</v>
      </c>
      <c r="C818" s="4" t="s">
        <v>39</v>
      </c>
      <c r="D818" s="43"/>
      <c r="E818" s="44"/>
      <c r="F818" s="45"/>
      <c r="L818" s="21">
        <v>0</v>
      </c>
      <c r="M818" s="21">
        <v>0</v>
      </c>
      <c r="N818" s="21">
        <v>0</v>
      </c>
      <c r="O818" s="21">
        <v>0</v>
      </c>
      <c r="P818" s="21">
        <v>0</v>
      </c>
      <c r="Q818" s="21">
        <v>0</v>
      </c>
      <c r="R818" s="21">
        <v>0</v>
      </c>
      <c r="S818" s="21">
        <v>0</v>
      </c>
    </row>
    <row r="819" spans="1:19" x14ac:dyDescent="0.2">
      <c r="A819" s="13">
        <f t="shared" si="281"/>
        <v>819</v>
      </c>
      <c r="B819" s="4" t="s">
        <v>466</v>
      </c>
      <c r="C819" s="4"/>
      <c r="D819" s="43"/>
      <c r="E819" s="44"/>
      <c r="F819" s="45"/>
      <c r="G819" s="46">
        <f>SUM(H819:I819)</f>
        <v>282433.29391517298</v>
      </c>
      <c r="H819" s="46">
        <f t="shared" ref="H819:I819" si="302">H816-H817</f>
        <v>264403.91121768474</v>
      </c>
      <c r="I819" s="46">
        <f t="shared" si="302"/>
        <v>18029.382697488258</v>
      </c>
      <c r="L819" s="21">
        <v>0</v>
      </c>
      <c r="M819" s="21">
        <v>0</v>
      </c>
      <c r="N819" s="21">
        <v>0</v>
      </c>
      <c r="O819" s="21">
        <v>0</v>
      </c>
      <c r="P819" s="21">
        <v>0</v>
      </c>
      <c r="Q819" s="21">
        <v>0</v>
      </c>
      <c r="R819" s="21">
        <v>0</v>
      </c>
      <c r="S819" s="21">
        <v>0</v>
      </c>
    </row>
    <row r="820" spans="1:19" x14ac:dyDescent="0.2">
      <c r="A820" s="13">
        <f t="shared" si="281"/>
        <v>820</v>
      </c>
      <c r="B820" s="4" t="s">
        <v>35</v>
      </c>
      <c r="C820" s="4" t="s">
        <v>481</v>
      </c>
      <c r="D820" s="43" t="s">
        <v>508</v>
      </c>
      <c r="E820" s="44">
        <f>A815</f>
        <v>815</v>
      </c>
      <c r="F820" s="45"/>
      <c r="G820" s="21">
        <f>IF($E$1149=1,($L820),IF($E$1149=2,($M820),IF($E$1149=3,($N820),IF($E$1149=4,($O820),IF($E$1149=5,($P820),IF($E$1149=6,($Q820),IF($E$1149=7,($R820),IF($E$1149=8,($S820),0))))))))</f>
        <v>0</v>
      </c>
      <c r="H820" s="48">
        <f>IF($G$816&lt;&gt;0,($G820)*(H$816/$G$816),0)</f>
        <v>0</v>
      </c>
      <c r="I820" s="48">
        <f>IF($G$816&lt;&gt;0,($G820)*(I$816/$G$816),0)</f>
        <v>0</v>
      </c>
      <c r="J820" s="20">
        <f t="shared" ref="J820:J821" si="303">IF($E$1149=1,($G820),IF($E$1149=2,($G820),IF($E$1149=3,0,IF($E$1149=4,($H820),IF($E$1149=5,($I820),0)))))</f>
        <v>0</v>
      </c>
      <c r="L820" s="21">
        <v>170433.06</v>
      </c>
      <c r="M820" s="21">
        <v>0</v>
      </c>
      <c r="N820" s="21">
        <v>0</v>
      </c>
      <c r="O820" s="21">
        <v>0</v>
      </c>
      <c r="P820" s="21">
        <v>170433.06</v>
      </c>
      <c r="Q820" s="21">
        <v>0</v>
      </c>
      <c r="R820" s="21">
        <v>0</v>
      </c>
      <c r="S820" s="21">
        <v>0</v>
      </c>
    </row>
    <row r="821" spans="1:19" x14ac:dyDescent="0.2">
      <c r="A821" s="13">
        <f t="shared" si="281"/>
        <v>821</v>
      </c>
      <c r="B821" s="4" t="s">
        <v>35</v>
      </c>
      <c r="C821" s="4" t="s">
        <v>467</v>
      </c>
      <c r="D821" s="43" t="s">
        <v>508</v>
      </c>
      <c r="E821" s="44">
        <f>A816</f>
        <v>816</v>
      </c>
      <c r="F821" s="45"/>
      <c r="G821" s="21">
        <f>IF($E$1149=1,($L821),IF($E$1149=2,($M821),IF($E$1149=3,($N821),IF($E$1149=4,($O821),IF($E$1149=5,($P821),IF($E$1149=6,($Q821),IF($E$1149=7,($R821),IF($E$1149=8,($S821),0))))))))</f>
        <v>13325.98</v>
      </c>
      <c r="H821" s="48">
        <f>IF($G$816&lt;&gt;0,($G821)*(H$816/$G$816),0)</f>
        <v>12475.304111514861</v>
      </c>
      <c r="I821" s="48">
        <f>IF($G$816&lt;&gt;0,($G821)*(I$816/$G$816),0)</f>
        <v>850.67588848514038</v>
      </c>
      <c r="J821" s="20">
        <f t="shared" si="303"/>
        <v>0</v>
      </c>
      <c r="L821" s="21">
        <v>35562</v>
      </c>
      <c r="M821" s="21">
        <v>13325.98</v>
      </c>
      <c r="N821" s="21">
        <v>13325.98</v>
      </c>
      <c r="O821" s="21">
        <v>13325.98</v>
      </c>
      <c r="P821" s="21">
        <v>35562</v>
      </c>
      <c r="Q821" s="21">
        <v>13325.98</v>
      </c>
      <c r="R821" s="21">
        <v>13325.98</v>
      </c>
      <c r="S821" s="21">
        <v>13325.98</v>
      </c>
    </row>
    <row r="822" spans="1:19" x14ac:dyDescent="0.2">
      <c r="A822" s="13">
        <f t="shared" si="281"/>
        <v>822</v>
      </c>
      <c r="B822" s="4"/>
      <c r="C822" s="4"/>
      <c r="D822" s="43" t="s">
        <v>5</v>
      </c>
      <c r="E822" s="44" t="s">
        <v>5</v>
      </c>
      <c r="F822" s="45"/>
      <c r="L822" s="21">
        <v>0</v>
      </c>
      <c r="M822" s="21">
        <v>0</v>
      </c>
      <c r="N822" s="21">
        <v>0</v>
      </c>
      <c r="O822" s="21">
        <v>0</v>
      </c>
      <c r="P822" s="21">
        <v>0</v>
      </c>
      <c r="Q822" s="21">
        <v>0</v>
      </c>
      <c r="R822" s="21">
        <v>0</v>
      </c>
      <c r="S822" s="21">
        <v>0</v>
      </c>
    </row>
    <row r="823" spans="1:19" x14ac:dyDescent="0.2">
      <c r="A823" s="13">
        <f t="shared" si="281"/>
        <v>823</v>
      </c>
      <c r="B823" s="4" t="s">
        <v>468</v>
      </c>
      <c r="C823" s="4"/>
      <c r="D823" s="43" t="s">
        <v>5</v>
      </c>
      <c r="E823" s="44" t="s">
        <v>5</v>
      </c>
      <c r="F823" s="45"/>
      <c r="G823" s="46">
        <f>SUM(H823:I823)</f>
        <v>295759.27391517302</v>
      </c>
      <c r="H823" s="46">
        <f t="shared" ref="H823:I823" si="304">SUM(H819:H821)</f>
        <v>276879.21532919962</v>
      </c>
      <c r="I823" s="46">
        <f t="shared" si="304"/>
        <v>18880.058585973398</v>
      </c>
      <c r="J823" s="20">
        <f t="shared" ref="J823" si="305">IF($E$1149=1,($G823),IF($E$1149=2,($G823),IF($E$1149=3,0,IF($E$1149=4,($H823),IF($E$1149=5,($I823),0)))))</f>
        <v>0</v>
      </c>
      <c r="L823" s="21">
        <v>0</v>
      </c>
      <c r="M823" s="21">
        <v>0</v>
      </c>
      <c r="N823" s="21">
        <v>0</v>
      </c>
      <c r="O823" s="21">
        <v>0</v>
      </c>
      <c r="P823" s="21">
        <v>0</v>
      </c>
      <c r="Q823" s="21">
        <v>0</v>
      </c>
      <c r="R823" s="21">
        <v>0</v>
      </c>
      <c r="S823" s="21">
        <v>0</v>
      </c>
    </row>
    <row r="824" spans="1:19" x14ac:dyDescent="0.2">
      <c r="A824" s="13">
        <f t="shared" si="281"/>
        <v>824</v>
      </c>
      <c r="B824" s="4" t="s">
        <v>39</v>
      </c>
      <c r="C824" s="4" t="s">
        <v>39</v>
      </c>
      <c r="D824" s="43" t="s">
        <v>5</v>
      </c>
      <c r="E824" s="44" t="s">
        <v>5</v>
      </c>
      <c r="F824" s="45"/>
      <c r="L824" s="21">
        <v>0</v>
      </c>
      <c r="M824" s="21">
        <v>0</v>
      </c>
      <c r="N824" s="21">
        <v>0</v>
      </c>
      <c r="O824" s="21">
        <v>0</v>
      </c>
      <c r="P824" s="21">
        <v>0</v>
      </c>
      <c r="Q824" s="21">
        <v>0</v>
      </c>
      <c r="R824" s="21">
        <v>0</v>
      </c>
      <c r="S824" s="21">
        <v>0</v>
      </c>
    </row>
    <row r="825" spans="1:19" x14ac:dyDescent="0.2">
      <c r="A825" s="13">
        <f t="shared" si="281"/>
        <v>825</v>
      </c>
      <c r="B825" s="38" t="str">
        <f>"* * * TABLE 12 - IDAHO STATE INCOME TAXES * * *"</f>
        <v>* * * TABLE 12 - IDAHO STATE INCOME TAXES * * *</v>
      </c>
      <c r="C825" s="4"/>
      <c r="D825" s="43"/>
      <c r="E825" s="44"/>
      <c r="F825" s="45"/>
      <c r="L825" s="21">
        <v>0</v>
      </c>
      <c r="M825" s="21">
        <v>0</v>
      </c>
      <c r="N825" s="21">
        <v>0</v>
      </c>
      <c r="O825" s="21">
        <v>0</v>
      </c>
      <c r="P825" s="21">
        <v>0</v>
      </c>
      <c r="Q825" s="21">
        <v>0</v>
      </c>
      <c r="R825" s="21">
        <v>0</v>
      </c>
      <c r="S825" s="21">
        <v>0</v>
      </c>
    </row>
    <row r="826" spans="1:19" x14ac:dyDescent="0.2">
      <c r="A826" s="13">
        <f t="shared" si="281"/>
        <v>826</v>
      </c>
      <c r="B826" s="4" t="s">
        <v>35</v>
      </c>
      <c r="C826" s="4"/>
      <c r="D826" s="43"/>
      <c r="E826" s="44"/>
      <c r="F826" s="45"/>
      <c r="L826" s="21">
        <v>0</v>
      </c>
      <c r="M826" s="21">
        <v>0</v>
      </c>
      <c r="N826" s="21">
        <v>0</v>
      </c>
      <c r="O826" s="21">
        <v>0</v>
      </c>
      <c r="P826" s="21">
        <v>0</v>
      </c>
      <c r="Q826" s="21">
        <v>0</v>
      </c>
      <c r="R826" s="21">
        <v>0</v>
      </c>
      <c r="S826" s="21">
        <v>0</v>
      </c>
    </row>
    <row r="827" spans="1:19" x14ac:dyDescent="0.2">
      <c r="A827" s="13">
        <f t="shared" si="281"/>
        <v>827</v>
      </c>
      <c r="B827" s="4" t="s">
        <v>469</v>
      </c>
      <c r="C827" s="4"/>
      <c r="D827" s="43" t="s">
        <v>508</v>
      </c>
      <c r="E827" s="44">
        <f>A773</f>
        <v>773</v>
      </c>
      <c r="F827" s="45"/>
      <c r="G827" s="42">
        <f>SUM(H827:I827)</f>
        <v>102833233.89061548</v>
      </c>
      <c r="H827" s="42">
        <f t="shared" ref="H827:I827" si="306">(H773)</f>
        <v>96452861.918985635</v>
      </c>
      <c r="I827" s="42">
        <f t="shared" si="306"/>
        <v>6380371.9716298422</v>
      </c>
      <c r="J827" s="20">
        <f t="shared" ref="J827" si="307">IF($E$1149=1,($G827),IF($E$1149=2,($G827),IF($E$1149=3,0,IF($E$1149=4,($H827),IF($E$1149=5,($I827),0)))))</f>
        <v>0</v>
      </c>
      <c r="L827" s="21">
        <v>247730407.89999986</v>
      </c>
      <c r="M827" s="21">
        <v>232822796.49691355</v>
      </c>
      <c r="N827" s="21">
        <v>232822796.49691355</v>
      </c>
      <c r="O827" s="21">
        <v>232822796.49691355</v>
      </c>
      <c r="P827" s="21">
        <v>247730407.89999986</v>
      </c>
      <c r="Q827" s="21">
        <v>236243870.25999987</v>
      </c>
      <c r="R827" s="21">
        <v>102833233.95691356</v>
      </c>
      <c r="S827" s="21">
        <v>232822796.49691355</v>
      </c>
    </row>
    <row r="828" spans="1:19" x14ac:dyDescent="0.2">
      <c r="A828" s="13">
        <f t="shared" si="281"/>
        <v>828</v>
      </c>
      <c r="B828" s="4" t="s">
        <v>35</v>
      </c>
      <c r="C828" s="4"/>
      <c r="D828" s="43" t="s">
        <v>5</v>
      </c>
      <c r="E828" s="44" t="s">
        <v>5</v>
      </c>
      <c r="F828" s="45"/>
      <c r="L828" s="21">
        <v>0</v>
      </c>
      <c r="M828" s="21">
        <v>0</v>
      </c>
      <c r="N828" s="21">
        <v>0</v>
      </c>
      <c r="O828" s="21">
        <v>0</v>
      </c>
      <c r="P828" s="21">
        <v>0</v>
      </c>
      <c r="Q828" s="21">
        <v>0</v>
      </c>
      <c r="R828" s="21">
        <v>0</v>
      </c>
      <c r="S828" s="21">
        <v>0</v>
      </c>
    </row>
    <row r="829" spans="1:19" x14ac:dyDescent="0.2">
      <c r="A829" s="13">
        <f t="shared" si="281"/>
        <v>829</v>
      </c>
      <c r="B829" s="4" t="s">
        <v>447</v>
      </c>
      <c r="C829" s="4"/>
      <c r="D829" s="43"/>
      <c r="E829" s="44" t="str">
        <f>E1059</f>
        <v>P101P</v>
      </c>
      <c r="F829" s="45"/>
      <c r="G829" s="21">
        <f>IF($E$1149=1,($L829),IF($E$1149=2,($M829),IF($E$1149=3,($N829),IF($E$1149=4,($O829),IF($E$1149=5,($P829),IF($E$1149=6,($Q829),IF($E$1149=7,($R829),IF($E$1149=8,($S829),0))))))))</f>
        <v>0</v>
      </c>
      <c r="H829" s="42">
        <f>IF($G$1059&lt;&gt;0,($G829)*(H$1059/$G$1059),0)</f>
        <v>0</v>
      </c>
      <c r="I829" s="42">
        <f>IF($G$1059&lt;&gt;0,($G829)*(I$1059/$G$1059),0)</f>
        <v>0</v>
      </c>
      <c r="J829" s="20">
        <f t="shared" ref="J829" si="308">IF($E$1149=1,($G829),IF($E$1149=2,($G829),IF($E$1149=3,0,IF($E$1149=4,($H829),IF($E$1149=5,($I829),0)))))</f>
        <v>0</v>
      </c>
      <c r="L829" s="21">
        <v>43529974</v>
      </c>
      <c r="M829" s="21">
        <v>0</v>
      </c>
      <c r="N829" s="21">
        <v>0</v>
      </c>
      <c r="O829" s="21">
        <v>0</v>
      </c>
      <c r="P829" s="21">
        <v>43529974</v>
      </c>
      <c r="Q829" s="21">
        <v>0</v>
      </c>
      <c r="R829" s="21">
        <v>0</v>
      </c>
      <c r="S829" s="21">
        <v>0</v>
      </c>
    </row>
    <row r="830" spans="1:19" x14ac:dyDescent="0.2">
      <c r="A830" s="13">
        <f t="shared" si="281"/>
        <v>830</v>
      </c>
      <c r="B830" s="3"/>
      <c r="C830" s="3"/>
      <c r="D830" s="43"/>
      <c r="E830" s="44"/>
      <c r="F830" s="45"/>
      <c r="G830" s="21"/>
    </row>
    <row r="831" spans="1:19" x14ac:dyDescent="0.2">
      <c r="A831" s="13">
        <f t="shared" si="281"/>
        <v>831</v>
      </c>
      <c r="B831" s="3" t="s">
        <v>453</v>
      </c>
      <c r="C831" s="3"/>
      <c r="D831" s="43"/>
      <c r="E831" s="44" t="str">
        <f>E1059</f>
        <v>P101P</v>
      </c>
      <c r="F831" s="45"/>
      <c r="G831" s="21">
        <f>IF($E$1149=1,($L831),IF($E$1149=2,($M831),IF($E$1149=3,($N831),IF($E$1149=4,($O831),IF($E$1149=5,($P831),IF($E$1149=6,($Q831),IF($E$1149=7,($R831),IF($E$1149=8,($S831),0))))))))</f>
        <v>-22327169</v>
      </c>
      <c r="H831" s="42">
        <f>IF($G$1059&lt;&gt;0,($G831)*(H$1059/$G$1059),0)</f>
        <v>-21416689.98091381</v>
      </c>
      <c r="I831" s="42">
        <f>IF($G$1059&lt;&gt;0,($G831)*(I$1059/$G$1059),0)</f>
        <v>-910479.01908618759</v>
      </c>
      <c r="L831" s="21">
        <v>-22460780</v>
      </c>
      <c r="M831" s="21">
        <v>-22460780</v>
      </c>
      <c r="N831" s="21">
        <v>-22460780</v>
      </c>
      <c r="O831" s="21">
        <v>-22460780</v>
      </c>
      <c r="P831" s="21">
        <v>-22460780</v>
      </c>
      <c r="Q831" s="21">
        <v>-22460780</v>
      </c>
      <c r="R831" s="21">
        <v>-22327169</v>
      </c>
      <c r="S831" s="21">
        <v>-22460780</v>
      </c>
    </row>
    <row r="832" spans="1:19" x14ac:dyDescent="0.2">
      <c r="A832" s="13">
        <f t="shared" si="281"/>
        <v>832</v>
      </c>
      <c r="B832" s="3" t="s">
        <v>454</v>
      </c>
      <c r="C832" s="3"/>
      <c r="D832" s="43" t="s">
        <v>508</v>
      </c>
      <c r="E832" s="44">
        <f>A766</f>
        <v>766</v>
      </c>
      <c r="F832" s="45"/>
      <c r="G832" s="21">
        <f>IF($E$1149=1,($L832),IF($E$1149=2,($M832),IF($E$1149=3,($N832),IF($E$1149=4,($O832),IF($E$1149=5,($P832),IF($E$1149=6,($Q832),IF($E$1149=7,($R832),IF($E$1149=8,($S832),0))))))))</f>
        <v>-10712119</v>
      </c>
      <c r="H832" s="42">
        <f>IF($G$766&lt;&gt;0,($G832)*(H$766/$G$766),0)</f>
        <v>-10156339.305554865</v>
      </c>
      <c r="I832" s="42">
        <f>IF($G$766&lt;&gt;0,($G832)*(I$766/$G$766),0)</f>
        <v>-555779.69444513589</v>
      </c>
      <c r="L832" s="21">
        <v>-29484842</v>
      </c>
      <c r="M832" s="21">
        <v>-10712119</v>
      </c>
      <c r="N832" s="21">
        <v>-10712119</v>
      </c>
      <c r="O832" s="21">
        <v>-10712119</v>
      </c>
      <c r="P832" s="21">
        <v>-29484842</v>
      </c>
      <c r="Q832" s="21">
        <v>-10712119</v>
      </c>
      <c r="R832" s="21">
        <v>-10712119</v>
      </c>
      <c r="S832" s="21">
        <v>-10712119</v>
      </c>
    </row>
    <row r="833" spans="1:19" x14ac:dyDescent="0.2">
      <c r="A833" s="13">
        <f t="shared" si="281"/>
        <v>833</v>
      </c>
      <c r="B833" s="3"/>
      <c r="C833" s="3" t="s">
        <v>470</v>
      </c>
      <c r="D833" s="43"/>
      <c r="E833" s="44"/>
      <c r="F833" s="45"/>
      <c r="G833" s="21">
        <f>SUM(G831:G832)</f>
        <v>-33039288</v>
      </c>
      <c r="H833" s="42">
        <f>SUM(H831:H832)</f>
        <v>-31573029.286468677</v>
      </c>
      <c r="I833" s="42">
        <f t="shared" ref="I833" si="309">SUM(I831:I832)</f>
        <v>-1466258.7135313235</v>
      </c>
      <c r="J833" s="20">
        <f t="shared" ref="J833" si="310">IF($E$1149=1,($G833),IF($E$1149=2,($G833),IF($E$1149=3,0,IF($E$1149=4,($H833),IF($E$1149=5,($I833),0)))))</f>
        <v>0</v>
      </c>
      <c r="L833" s="21">
        <v>-51945622</v>
      </c>
      <c r="M833" s="21">
        <v>-33172899</v>
      </c>
      <c r="N833" s="21">
        <v>-33172899</v>
      </c>
      <c r="O833" s="21">
        <v>-33172899</v>
      </c>
      <c r="P833" s="21">
        <v>-51945622</v>
      </c>
      <c r="Q833" s="21">
        <v>-33172899</v>
      </c>
      <c r="R833" s="21">
        <v>-33039288</v>
      </c>
      <c r="S833" s="21">
        <v>-33172899</v>
      </c>
    </row>
    <row r="834" spans="1:19" x14ac:dyDescent="0.2">
      <c r="A834" s="13">
        <f t="shared" si="281"/>
        <v>834</v>
      </c>
      <c r="B834" s="4" t="s">
        <v>35</v>
      </c>
      <c r="C834" s="4"/>
      <c r="D834" s="43" t="s">
        <v>5</v>
      </c>
      <c r="E834" s="44" t="s">
        <v>5</v>
      </c>
      <c r="F834" s="45"/>
      <c r="G834" s="46"/>
      <c r="H834" s="46"/>
      <c r="I834" s="46"/>
      <c r="L834" s="21">
        <v>0</v>
      </c>
      <c r="M834" s="21">
        <v>0</v>
      </c>
      <c r="N834" s="21">
        <v>0</v>
      </c>
      <c r="O834" s="21">
        <v>0</v>
      </c>
      <c r="P834" s="21">
        <v>0</v>
      </c>
      <c r="Q834" s="21">
        <v>0</v>
      </c>
      <c r="R834" s="21">
        <v>0</v>
      </c>
      <c r="S834" s="21">
        <v>0</v>
      </c>
    </row>
    <row r="835" spans="1:19" x14ac:dyDescent="0.2">
      <c r="A835" s="13">
        <f t="shared" ref="A835:A898" si="311">A834+1</f>
        <v>835</v>
      </c>
      <c r="B835" s="4" t="s">
        <v>471</v>
      </c>
      <c r="C835" s="4"/>
      <c r="D835" s="43" t="s">
        <v>5</v>
      </c>
      <c r="E835" s="44" t="s">
        <v>5</v>
      </c>
      <c r="F835" s="45"/>
      <c r="G835" s="46">
        <f>SUM(H835:I835)</f>
        <v>69793945.890615478</v>
      </c>
      <c r="H835" s="46">
        <f>SUM(H827:H829,H833)</f>
        <v>64879832.632516958</v>
      </c>
      <c r="I835" s="46">
        <f t="shared" ref="I835" si="312">SUM(I827:I829,I833)</f>
        <v>4914113.2580985185</v>
      </c>
      <c r="J835" s="20">
        <f t="shared" ref="J835" si="313">IF($E$1149=1,($G835),IF($E$1149=2,($G835),IF($E$1149=3,0,IF($E$1149=4,($H835),IF($E$1149=5,($I835),0)))))</f>
        <v>0</v>
      </c>
      <c r="L835" s="21">
        <v>0</v>
      </c>
      <c r="M835" s="21">
        <v>0</v>
      </c>
      <c r="N835" s="21">
        <v>0</v>
      </c>
      <c r="O835" s="21">
        <v>0</v>
      </c>
      <c r="P835" s="21">
        <v>0</v>
      </c>
      <c r="Q835" s="21">
        <v>0</v>
      </c>
      <c r="R835" s="21">
        <v>0</v>
      </c>
      <c r="S835" s="21">
        <v>0</v>
      </c>
    </row>
    <row r="836" spans="1:19" x14ac:dyDescent="0.2">
      <c r="A836" s="13">
        <f t="shared" si="311"/>
        <v>836</v>
      </c>
      <c r="B836" s="4" t="s">
        <v>35</v>
      </c>
      <c r="C836" s="4" t="s">
        <v>39</v>
      </c>
      <c r="D836" s="43"/>
      <c r="E836" s="44"/>
      <c r="F836" s="45"/>
      <c r="L836" s="21">
        <v>0</v>
      </c>
      <c r="M836" s="21">
        <v>0</v>
      </c>
      <c r="N836" s="21">
        <v>0</v>
      </c>
      <c r="O836" s="21">
        <v>0</v>
      </c>
      <c r="P836" s="21">
        <v>0</v>
      </c>
      <c r="Q836" s="21">
        <v>0</v>
      </c>
      <c r="R836" s="21">
        <v>0</v>
      </c>
      <c r="S836" s="21">
        <v>0</v>
      </c>
    </row>
    <row r="837" spans="1:19" x14ac:dyDescent="0.2">
      <c r="A837" s="13">
        <f t="shared" si="311"/>
        <v>837</v>
      </c>
      <c r="B837" s="4" t="s">
        <v>35</v>
      </c>
      <c r="C837" s="4" t="s">
        <v>459</v>
      </c>
      <c r="D837" s="43"/>
      <c r="E837" s="44" t="str">
        <f>E1010</f>
        <v>E10</v>
      </c>
      <c r="F837" s="45"/>
      <c r="G837" s="21">
        <f>IF($E$1149=1,($L837),IF($E$1149=2,($M837),IF($E$1149=3,($N837),IF($E$1149=4,($O837),IF($E$1149=5,($P837),IF($E$1149=6,($Q837),IF($E$1149=7,($R837),IF($E$1149=8,($S837),0))))))))</f>
        <v>30171135</v>
      </c>
      <c r="H837" s="48">
        <f>IF($G$1010&lt;&gt;0,($G$837*(H$1010/$G$1010)),0)</f>
        <v>28838094.131090622</v>
      </c>
      <c r="I837" s="48">
        <f>IF($G$1010&lt;&gt;0,($G$837*(I$1010/$G$1010)),0)</f>
        <v>1333040.8689093788</v>
      </c>
      <c r="J837" s="20">
        <f t="shared" ref="J837:J840" si="314">IF($E$1149=1,($G837),IF($E$1149=2,($G837),IF($E$1149=3,0,IF($E$1149=4,($H837),IF($E$1149=5,($I837),0)))))</f>
        <v>0</v>
      </c>
      <c r="L837" s="21">
        <v>30171135</v>
      </c>
      <c r="M837" s="21">
        <v>30171135</v>
      </c>
      <c r="N837" s="21">
        <v>30171135</v>
      </c>
      <c r="O837" s="21">
        <v>30171135</v>
      </c>
      <c r="P837" s="21">
        <v>30171135</v>
      </c>
      <c r="Q837" s="21">
        <v>30171135</v>
      </c>
      <c r="R837" s="21">
        <v>30171135</v>
      </c>
      <c r="S837" s="21">
        <v>30171135</v>
      </c>
    </row>
    <row r="838" spans="1:19" x14ac:dyDescent="0.2">
      <c r="A838" s="13">
        <f t="shared" si="311"/>
        <v>838</v>
      </c>
      <c r="B838" s="4" t="s">
        <v>35</v>
      </c>
      <c r="C838" s="4" t="s">
        <v>460</v>
      </c>
      <c r="D838" s="43"/>
      <c r="E838" s="44" t="str">
        <f>E1059</f>
        <v>P101P</v>
      </c>
      <c r="F838" s="45"/>
      <c r="G838" s="21">
        <f>IF($E$1149=1,($L838),IF($E$1149=2,($M838),IF($E$1149=3,($N838),IF($E$1149=4,($O838),IF($E$1149=5,($P838),IF($E$1149=6,($Q838),IF($E$1149=7,($R838),IF($E$1149=8,($S838),0))))))))</f>
        <v>-37579826</v>
      </c>
      <c r="H838" s="48">
        <f>IF($G$1059&lt;&gt;0,($G$838*(H$1059/$G$1059)),0)</f>
        <v>-36047359.294798382</v>
      </c>
      <c r="I838" s="48">
        <f>IF($G$1059&lt;&gt;0,($G$838*(I$1059/$G$1059)),0)</f>
        <v>-1532466.7052016137</v>
      </c>
      <c r="J838" s="20">
        <f t="shared" si="314"/>
        <v>0</v>
      </c>
      <c r="L838" s="21">
        <v>-37579826</v>
      </c>
      <c r="M838" s="21">
        <v>-37579826</v>
      </c>
      <c r="N838" s="21">
        <v>-37579826</v>
      </c>
      <c r="O838" s="21">
        <v>-37579826</v>
      </c>
      <c r="P838" s="21">
        <v>-37579826</v>
      </c>
      <c r="Q838" s="21">
        <v>-37579826</v>
      </c>
      <c r="R838" s="21">
        <v>-37579826</v>
      </c>
      <c r="S838" s="21">
        <v>-37579826</v>
      </c>
    </row>
    <row r="839" spans="1:19" x14ac:dyDescent="0.2">
      <c r="A839" s="13">
        <f t="shared" si="311"/>
        <v>839</v>
      </c>
      <c r="B839" s="4"/>
      <c r="C839" s="4" t="s">
        <v>461</v>
      </c>
      <c r="D839" s="43" t="s">
        <v>508</v>
      </c>
      <c r="E839" s="44">
        <v>750</v>
      </c>
      <c r="F839" s="45"/>
      <c r="G839" s="21">
        <f>IF($E$1149=1,($L839),IF($E$1149=2,($M839),IF($E$1149=3,($N839),IF($E$1149=4,($O839),IF($E$1149=5,($P839),IF($E$1149=6,($Q839),IF($E$1149=7,($R839),IF($E$1149=8,($S839),0))))))))</f>
        <v>0</v>
      </c>
      <c r="H839" s="48">
        <f>IF($G$766&lt;&gt;0,($G$839*(H$766/$G$766)),0)</f>
        <v>0</v>
      </c>
      <c r="I839" s="48">
        <f>IF($G$766&lt;&gt;0,($G$839*(I$766/$G$766)),0)</f>
        <v>0</v>
      </c>
      <c r="J839" s="20">
        <f t="shared" si="314"/>
        <v>0</v>
      </c>
      <c r="L839" s="21">
        <v>0</v>
      </c>
      <c r="M839" s="21">
        <v>0</v>
      </c>
      <c r="N839" s="21">
        <v>0</v>
      </c>
      <c r="O839" s="21">
        <v>0</v>
      </c>
      <c r="P839" s="21">
        <v>0</v>
      </c>
      <c r="Q839" s="21">
        <v>0</v>
      </c>
      <c r="R839" s="21">
        <v>0</v>
      </c>
      <c r="S839" s="21">
        <v>0</v>
      </c>
    </row>
    <row r="840" spans="1:19" x14ac:dyDescent="0.2">
      <c r="A840" s="13">
        <f t="shared" si="311"/>
        <v>840</v>
      </c>
      <c r="B840" s="4" t="s">
        <v>472</v>
      </c>
      <c r="C840" s="4"/>
      <c r="D840" s="43" t="s">
        <v>5</v>
      </c>
      <c r="E840" s="44" t="s">
        <v>5</v>
      </c>
      <c r="F840" s="45"/>
      <c r="G840" s="46">
        <f>SUM(H840:I840)</f>
        <v>62385254.890615478</v>
      </c>
      <c r="H840" s="46">
        <f>SUM(H835:H839)</f>
        <v>57670567.468809195</v>
      </c>
      <c r="I840" s="46">
        <f>SUM(I835:I839)</f>
        <v>4714687.4218062833</v>
      </c>
      <c r="J840" s="20">
        <f t="shared" si="314"/>
        <v>0</v>
      </c>
      <c r="L840" s="21">
        <v>0</v>
      </c>
      <c r="M840" s="21">
        <v>0</v>
      </c>
      <c r="N840" s="21">
        <v>0</v>
      </c>
      <c r="O840" s="21">
        <v>0</v>
      </c>
      <c r="P840" s="21">
        <v>0</v>
      </c>
      <c r="Q840" s="21">
        <v>0</v>
      </c>
      <c r="R840" s="21">
        <v>0</v>
      </c>
      <c r="S840" s="21">
        <v>0</v>
      </c>
    </row>
    <row r="841" spans="1:19" x14ac:dyDescent="0.2">
      <c r="A841" s="13">
        <f t="shared" si="311"/>
        <v>841</v>
      </c>
      <c r="B841" s="4" t="s">
        <v>39</v>
      </c>
      <c r="C841" s="4" t="s">
        <v>39</v>
      </c>
      <c r="D841" s="43" t="s">
        <v>5</v>
      </c>
      <c r="E841" s="44" t="s">
        <v>5</v>
      </c>
      <c r="F841" s="45"/>
      <c r="L841" s="21">
        <v>0</v>
      </c>
      <c r="M841" s="21">
        <v>0</v>
      </c>
      <c r="N841" s="21">
        <v>0</v>
      </c>
      <c r="O841" s="21">
        <v>0</v>
      </c>
      <c r="P841" s="21">
        <v>0</v>
      </c>
      <c r="Q841" s="21">
        <v>0</v>
      </c>
      <c r="R841" s="21">
        <v>0</v>
      </c>
      <c r="S841" s="21">
        <v>0</v>
      </c>
    </row>
    <row r="842" spans="1:19" x14ac:dyDescent="0.2">
      <c r="A842" s="13">
        <f t="shared" si="311"/>
        <v>842</v>
      </c>
      <c r="B842" s="4" t="s">
        <v>473</v>
      </c>
      <c r="C842" s="4"/>
      <c r="D842" s="43" t="s">
        <v>5</v>
      </c>
      <c r="E842" s="44" t="s">
        <v>5</v>
      </c>
      <c r="F842" s="45"/>
      <c r="G842" s="46">
        <f>SUM(H842:I842)</f>
        <v>3493574.2738744668</v>
      </c>
      <c r="H842" s="46">
        <f>H840*0.056</f>
        <v>3229551.778253315</v>
      </c>
      <c r="I842" s="46">
        <f>I840*0.056</f>
        <v>264022.49562115187</v>
      </c>
      <c r="J842" s="20">
        <f t="shared" ref="J842:J843" si="315">IF($E$1149=1,($G842),IF($E$1149=2,($G842),IF($E$1149=3,0,IF($E$1149=4,($H842),IF($E$1149=5,($I842),0)))))</f>
        <v>0</v>
      </c>
      <c r="L842" s="21">
        <v>0</v>
      </c>
      <c r="M842" s="21">
        <v>0</v>
      </c>
      <c r="N842" s="21">
        <v>0</v>
      </c>
      <c r="O842" s="21">
        <v>0</v>
      </c>
      <c r="P842" s="21">
        <v>0</v>
      </c>
      <c r="Q842" s="21">
        <v>0</v>
      </c>
      <c r="R842" s="21">
        <v>0</v>
      </c>
      <c r="S842" s="21">
        <v>0</v>
      </c>
    </row>
    <row r="843" spans="1:19" x14ac:dyDescent="0.2">
      <c r="A843" s="13">
        <f t="shared" si="311"/>
        <v>843</v>
      </c>
      <c r="B843" s="4" t="s">
        <v>39</v>
      </c>
      <c r="C843" s="4" t="s">
        <v>465</v>
      </c>
      <c r="D843" s="43"/>
      <c r="E843" s="44" t="str">
        <f>E1059</f>
        <v>P101P</v>
      </c>
      <c r="F843" s="45"/>
      <c r="G843" s="21">
        <f>IF($E$1149=1,($L843),IF($E$1149=2,($M843),IF($E$1149=3,($N843),IF($E$1149=4,($O843),IF($E$1149=5,($P843),IF($E$1149=6,($Q843),IF($E$1149=7,($R843),IF($E$1149=8,($S843),0))))))))</f>
        <v>6111000</v>
      </c>
      <c r="H843" s="48">
        <f>IF($G$1059&lt;&gt;0,($G843)*(H$1059/$G$1059),0)</f>
        <v>5861799.6967445491</v>
      </c>
      <c r="I843" s="48">
        <f>IF($G$1059&lt;&gt;0,($G843)*(I$1059/$G$1059),0)</f>
        <v>249200.30325545048</v>
      </c>
      <c r="J843" s="20">
        <f t="shared" si="315"/>
        <v>0</v>
      </c>
      <c r="L843" s="21">
        <v>0</v>
      </c>
      <c r="M843" s="21">
        <v>6111000</v>
      </c>
      <c r="N843" s="21">
        <v>6111000</v>
      </c>
      <c r="O843" s="21">
        <v>6111000</v>
      </c>
      <c r="P843" s="21">
        <v>0</v>
      </c>
      <c r="Q843" s="21">
        <v>6111000</v>
      </c>
      <c r="R843" s="21">
        <v>6111000</v>
      </c>
      <c r="S843" s="21">
        <v>6111000</v>
      </c>
    </row>
    <row r="844" spans="1:19" x14ac:dyDescent="0.2">
      <c r="A844" s="13">
        <f t="shared" si="311"/>
        <v>844</v>
      </c>
      <c r="B844" s="4" t="s">
        <v>39</v>
      </c>
      <c r="C844" s="4" t="s">
        <v>39</v>
      </c>
      <c r="D844" s="43"/>
      <c r="E844" s="44"/>
      <c r="F844" s="45"/>
      <c r="L844" s="21">
        <v>0</v>
      </c>
      <c r="M844" s="21">
        <v>0</v>
      </c>
      <c r="N844" s="21">
        <v>0</v>
      </c>
      <c r="O844" s="21">
        <v>0</v>
      </c>
      <c r="P844" s="21">
        <v>0</v>
      </c>
      <c r="Q844" s="21">
        <v>0</v>
      </c>
      <c r="R844" s="21">
        <v>0</v>
      </c>
      <c r="S844" s="21">
        <v>0</v>
      </c>
    </row>
    <row r="845" spans="1:19" x14ac:dyDescent="0.2">
      <c r="A845" s="13">
        <f t="shared" si="311"/>
        <v>845</v>
      </c>
      <c r="B845" s="4" t="s">
        <v>474</v>
      </c>
      <c r="C845" s="4"/>
      <c r="D845" s="43"/>
      <c r="E845" s="44"/>
      <c r="F845" s="45"/>
      <c r="G845" s="46">
        <f>SUM(H845:I845)</f>
        <v>-2617425.7261255328</v>
      </c>
      <c r="H845" s="46">
        <f t="shared" ref="H845:I845" si="316">H842-H843</f>
        <v>-2632247.9184912341</v>
      </c>
      <c r="I845" s="46">
        <f t="shared" si="316"/>
        <v>14822.192365701398</v>
      </c>
      <c r="L845" s="21">
        <v>0</v>
      </c>
      <c r="M845" s="21">
        <v>0</v>
      </c>
      <c r="N845" s="21">
        <v>0</v>
      </c>
      <c r="O845" s="21">
        <v>0</v>
      </c>
      <c r="P845" s="21">
        <v>0</v>
      </c>
      <c r="Q845" s="21">
        <v>0</v>
      </c>
      <c r="R845" s="21">
        <v>0</v>
      </c>
      <c r="S845" s="21">
        <v>0</v>
      </c>
    </row>
    <row r="846" spans="1:19" x14ac:dyDescent="0.2">
      <c r="A846" s="13">
        <f t="shared" si="311"/>
        <v>846</v>
      </c>
      <c r="B846" s="4" t="s">
        <v>39</v>
      </c>
      <c r="C846" s="4" t="s">
        <v>481</v>
      </c>
      <c r="D846" s="43" t="s">
        <v>508</v>
      </c>
      <c r="E846" s="44">
        <f>A841</f>
        <v>841</v>
      </c>
      <c r="F846" s="45"/>
      <c r="G846" s="21">
        <f>IF($E$1149=1,($L846),IF($E$1149=2,($M846),IF($E$1149=3,($N846),IF($E$1149=4,($O846),IF($E$1149=5,($P846),IF($E$1149=6,($Q846),IF($E$1149=7,($R846),IF($E$1149=8,($S846),0))))))))</f>
        <v>0</v>
      </c>
      <c r="H846" s="48">
        <f>IF($G$842&lt;&gt;0,($G846)*(H$842/$G$842),0)</f>
        <v>0</v>
      </c>
      <c r="I846" s="48">
        <f>IF($G$842&lt;&gt;0,($G846)*(I$842/$G$842),0)</f>
        <v>0</v>
      </c>
      <c r="J846" s="20">
        <f t="shared" ref="J846:J848" si="317">IF($E$1149=1,($G846),IF($E$1149=2,($G846),IF($E$1149=3,0,IF($E$1149=4,($H846),IF($E$1149=5,($I846),0)))))</f>
        <v>0</v>
      </c>
      <c r="L846" s="21">
        <v>0</v>
      </c>
      <c r="M846" s="21">
        <v>0</v>
      </c>
      <c r="N846" s="21">
        <v>0</v>
      </c>
      <c r="O846" s="21">
        <v>0</v>
      </c>
      <c r="P846" s="21">
        <v>0</v>
      </c>
      <c r="Q846" s="21">
        <v>0</v>
      </c>
      <c r="R846" s="21">
        <v>0</v>
      </c>
      <c r="S846" s="21">
        <v>0</v>
      </c>
    </row>
    <row r="847" spans="1:19" x14ac:dyDescent="0.2">
      <c r="A847" s="13">
        <f t="shared" si="311"/>
        <v>847</v>
      </c>
      <c r="B847" s="4" t="s">
        <v>39</v>
      </c>
      <c r="C847" s="4" t="s">
        <v>475</v>
      </c>
      <c r="D847" s="43" t="s">
        <v>508</v>
      </c>
      <c r="E847" s="44">
        <f>A842</f>
        <v>842</v>
      </c>
      <c r="F847" s="45"/>
      <c r="G847" s="21">
        <f>IF($E$1149=1,($L847),IF($E$1149=2,($M847),IF($E$1149=3,($N847),IF($E$1149=4,($O847),IF($E$1149=5,($P847),IF($E$1149=6,($Q847),IF($E$1149=7,($R847),IF($E$1149=8,($S847),0))))))))</f>
        <v>504788.83</v>
      </c>
      <c r="H847" s="48">
        <f>IF($G$842&lt;&gt;0,($G847)*(H$842/$G$842),0)</f>
        <v>466640.04706014995</v>
      </c>
      <c r="I847" s="48">
        <f>IF($G$842&lt;&gt;0,($G847)*(I$842/$G$842),0)</f>
        <v>38148.782939850076</v>
      </c>
      <c r="J847" s="20">
        <f t="shared" si="317"/>
        <v>0</v>
      </c>
      <c r="L847" s="21">
        <v>374916</v>
      </c>
      <c r="M847" s="21">
        <v>504788.83</v>
      </c>
      <c r="N847" s="21">
        <v>504788.83</v>
      </c>
      <c r="O847" s="21">
        <v>504788.83</v>
      </c>
      <c r="P847" s="21">
        <v>374916</v>
      </c>
      <c r="Q847" s="21">
        <v>504788.83</v>
      </c>
      <c r="R847" s="21">
        <v>504788.83</v>
      </c>
      <c r="S847" s="21">
        <v>504788.83</v>
      </c>
    </row>
    <row r="848" spans="1:19" x14ac:dyDescent="0.2">
      <c r="A848" s="13">
        <f t="shared" si="311"/>
        <v>848</v>
      </c>
      <c r="B848" s="4" t="s">
        <v>476</v>
      </c>
      <c r="C848" s="4"/>
      <c r="D848" s="43" t="s">
        <v>5</v>
      </c>
      <c r="E848" s="44" t="s">
        <v>5</v>
      </c>
      <c r="F848" s="45"/>
      <c r="G848" s="46">
        <f>SUM(H848:I848)</f>
        <v>-2112636.8961255327</v>
      </c>
      <c r="H848" s="46">
        <f t="shared" ref="H848:I848" si="318">SUM(H845:H847)</f>
        <v>-2165607.8714310843</v>
      </c>
      <c r="I848" s="46">
        <f t="shared" si="318"/>
        <v>52970.975305551474</v>
      </c>
      <c r="J848" s="20">
        <f t="shared" si="317"/>
        <v>0</v>
      </c>
      <c r="L848" s="21">
        <v>0</v>
      </c>
      <c r="M848" s="21">
        <v>0</v>
      </c>
      <c r="N848" s="21">
        <v>0</v>
      </c>
      <c r="O848" s="21">
        <v>0</v>
      </c>
      <c r="P848" s="21">
        <v>0</v>
      </c>
      <c r="Q848" s="21">
        <v>0</v>
      </c>
      <c r="R848" s="21">
        <v>0</v>
      </c>
      <c r="S848" s="21">
        <v>0</v>
      </c>
    </row>
    <row r="849" spans="1:19" x14ac:dyDescent="0.2">
      <c r="A849" s="13">
        <f t="shared" si="311"/>
        <v>849</v>
      </c>
      <c r="B849" s="4"/>
      <c r="C849" s="4"/>
      <c r="D849" s="43"/>
      <c r="E849" s="44"/>
      <c r="F849" s="45"/>
      <c r="G849" s="46"/>
      <c r="H849" s="46"/>
      <c r="I849" s="46"/>
      <c r="L849" s="21">
        <v>0</v>
      </c>
      <c r="M849" s="21">
        <v>0</v>
      </c>
      <c r="N849" s="21">
        <v>0</v>
      </c>
      <c r="O849" s="21">
        <v>0</v>
      </c>
      <c r="P849" s="21">
        <v>0</v>
      </c>
      <c r="Q849" s="21">
        <v>0</v>
      </c>
      <c r="R849" s="21">
        <v>0</v>
      </c>
      <c r="S849" s="21">
        <v>0</v>
      </c>
    </row>
    <row r="850" spans="1:19" x14ac:dyDescent="0.2">
      <c r="A850" s="13">
        <f t="shared" si="311"/>
        <v>850</v>
      </c>
      <c r="B850" s="4" t="s">
        <v>39</v>
      </c>
      <c r="C850" s="4" t="s">
        <v>39</v>
      </c>
      <c r="D850" s="43"/>
      <c r="E850" s="44"/>
      <c r="F850" s="45"/>
      <c r="L850" s="21">
        <v>0</v>
      </c>
      <c r="M850" s="21">
        <v>0</v>
      </c>
      <c r="N850" s="21">
        <v>0</v>
      </c>
      <c r="O850" s="21">
        <v>0</v>
      </c>
      <c r="P850" s="21">
        <v>0</v>
      </c>
      <c r="Q850" s="21">
        <v>0</v>
      </c>
      <c r="R850" s="21">
        <v>0</v>
      </c>
      <c r="S850" s="21">
        <v>0</v>
      </c>
    </row>
    <row r="851" spans="1:19" x14ac:dyDescent="0.2">
      <c r="A851" s="13">
        <f t="shared" si="311"/>
        <v>851</v>
      </c>
      <c r="B851" s="4" t="s">
        <v>532</v>
      </c>
      <c r="C851" s="4"/>
      <c r="D851" s="43"/>
      <c r="E851" s="44"/>
      <c r="F851" s="45"/>
      <c r="L851" s="21">
        <v>0</v>
      </c>
      <c r="M851" s="21">
        <v>0</v>
      </c>
      <c r="N851" s="21">
        <v>0</v>
      </c>
      <c r="O851" s="21">
        <v>0</v>
      </c>
      <c r="P851" s="21">
        <v>0</v>
      </c>
      <c r="Q851" s="21">
        <v>0</v>
      </c>
      <c r="R851" s="21">
        <v>0</v>
      </c>
      <c r="S851" s="21">
        <v>0</v>
      </c>
    </row>
    <row r="852" spans="1:19" x14ac:dyDescent="0.2">
      <c r="A852" s="13">
        <f t="shared" si="311"/>
        <v>852</v>
      </c>
      <c r="B852" s="4" t="s">
        <v>477</v>
      </c>
      <c r="C852" s="4"/>
      <c r="D852" s="43"/>
      <c r="E852" s="44"/>
      <c r="F852" s="45"/>
      <c r="G852" s="42">
        <f>G835</f>
        <v>69793945.890615478</v>
      </c>
      <c r="H852" s="42">
        <f t="shared" ref="H852:I852" si="319">H835</f>
        <v>64879832.632516958</v>
      </c>
      <c r="I852" s="42">
        <f t="shared" si="319"/>
        <v>4914113.2580985185</v>
      </c>
      <c r="J852" s="20">
        <f t="shared" ref="J852" si="320">IF($E$1149=1,($G852),IF($E$1149=2,($G852),IF($E$1149=3,0,IF($E$1149=4,($H852),IF($E$1149=5,($I852),0)))))</f>
        <v>0</v>
      </c>
      <c r="L852" s="21">
        <v>0</v>
      </c>
      <c r="M852" s="21">
        <v>0</v>
      </c>
      <c r="N852" s="21">
        <v>0</v>
      </c>
      <c r="O852" s="21">
        <v>0</v>
      </c>
      <c r="P852" s="21">
        <v>0</v>
      </c>
      <c r="Q852" s="21">
        <v>0</v>
      </c>
      <c r="R852" s="21">
        <v>0</v>
      </c>
      <c r="S852" s="21">
        <v>0</v>
      </c>
    </row>
    <row r="853" spans="1:19" x14ac:dyDescent="0.2">
      <c r="A853" s="13">
        <f t="shared" si="311"/>
        <v>853</v>
      </c>
      <c r="B853" s="4"/>
      <c r="C853" s="4"/>
      <c r="D853" s="43"/>
      <c r="E853" s="44"/>
      <c r="F853" s="45"/>
      <c r="L853" s="21">
        <v>0</v>
      </c>
      <c r="M853" s="21">
        <v>0</v>
      </c>
      <c r="N853" s="21">
        <v>0</v>
      </c>
      <c r="O853" s="21">
        <v>0</v>
      </c>
      <c r="P853" s="21">
        <v>0</v>
      </c>
      <c r="Q853" s="21">
        <v>0</v>
      </c>
      <c r="R853" s="21">
        <v>0</v>
      </c>
      <c r="S853" s="21">
        <v>0</v>
      </c>
    </row>
    <row r="854" spans="1:19" x14ac:dyDescent="0.2">
      <c r="A854" s="13">
        <f t="shared" si="311"/>
        <v>854</v>
      </c>
      <c r="B854" s="4" t="s">
        <v>35</v>
      </c>
      <c r="C854" s="4" t="s">
        <v>459</v>
      </c>
      <c r="D854" s="43"/>
      <c r="E854" s="44" t="str">
        <f>E1010</f>
        <v>E10</v>
      </c>
      <c r="F854" s="45"/>
      <c r="G854" s="21">
        <f>IF($E$1149=1,($L854),IF($E$1149=2,($M854),IF($E$1149=3,($N854),IF($E$1149=4,($O854),IF($E$1149=5,($P854),IF($E$1149=6,($Q854),IF($E$1149=7,($R854),IF($E$1149=8,($S854),0))))))))</f>
        <v>30171135</v>
      </c>
      <c r="H854" s="48">
        <f>IF($G$1010&lt;&gt;0,($G$854*(H$1010/$G$1010)),0)</f>
        <v>28838094.131090622</v>
      </c>
      <c r="I854" s="48">
        <f>IF($G$1010&lt;&gt;0,($G$854*(I$1010/$G$1010)),0)</f>
        <v>1333040.8689093788</v>
      </c>
      <c r="J854" s="20">
        <f t="shared" ref="J854:J859" si="321">IF($E$1149=1,($G854),IF($E$1149=2,($G854),IF($E$1149=3,0,IF($E$1149=4,($H854),IF($E$1149=5,($I854),0)))))</f>
        <v>0</v>
      </c>
      <c r="L854" s="21">
        <v>30171135</v>
      </c>
      <c r="M854" s="21">
        <v>30171135</v>
      </c>
      <c r="N854" s="21">
        <v>30171135</v>
      </c>
      <c r="O854" s="21">
        <v>30171135</v>
      </c>
      <c r="P854" s="21">
        <v>30171135</v>
      </c>
      <c r="Q854" s="21">
        <v>30171135</v>
      </c>
      <c r="R854" s="21">
        <v>30171135</v>
      </c>
      <c r="S854" s="21">
        <v>30171135</v>
      </c>
    </row>
    <row r="855" spans="1:19" x14ac:dyDescent="0.2">
      <c r="A855" s="13">
        <f t="shared" si="311"/>
        <v>855</v>
      </c>
      <c r="B855" s="4"/>
      <c r="C855" s="4" t="s">
        <v>460</v>
      </c>
      <c r="D855" s="43"/>
      <c r="E855" s="44" t="str">
        <f>E1059</f>
        <v>P101P</v>
      </c>
      <c r="F855" s="45"/>
      <c r="G855" s="21">
        <f>IF($E$1149=1,($L855),IF($E$1149=2,($M855),IF($E$1149=3,($N855),IF($E$1149=4,($O855),IF($E$1149=5,($P855),IF($E$1149=6,($Q855),IF($E$1149=7,($R855),IF($E$1149=8,($S855),0))))))))</f>
        <v>0</v>
      </c>
      <c r="H855" s="48">
        <f>IF($G$1059&lt;&gt;0,($G$855*(H$1059/$G$1059)),0)</f>
        <v>0</v>
      </c>
      <c r="I855" s="48">
        <f>IF($G$1059&lt;&gt;0,($G$855*(I$1059/$G$1059)),0)</f>
        <v>0</v>
      </c>
      <c r="J855" s="20">
        <f t="shared" si="321"/>
        <v>0</v>
      </c>
      <c r="L855" s="21">
        <v>0</v>
      </c>
      <c r="M855" s="21">
        <v>0</v>
      </c>
      <c r="N855" s="21">
        <v>0</v>
      </c>
      <c r="O855" s="21">
        <v>0</v>
      </c>
      <c r="P855" s="21">
        <v>0</v>
      </c>
      <c r="Q855" s="21">
        <v>0</v>
      </c>
      <c r="R855" s="21">
        <v>0</v>
      </c>
      <c r="S855" s="21">
        <v>0</v>
      </c>
    </row>
    <row r="856" spans="1:19" x14ac:dyDescent="0.2">
      <c r="A856" s="13">
        <f t="shared" si="311"/>
        <v>856</v>
      </c>
      <c r="B856" s="4"/>
      <c r="C856" s="4" t="s">
        <v>461</v>
      </c>
      <c r="D856" s="43" t="s">
        <v>508</v>
      </c>
      <c r="E856" s="44">
        <v>750</v>
      </c>
      <c r="F856" s="45"/>
      <c r="G856" s="21">
        <f>IF($E$1149=1,($L856),IF($E$1149=2,($M856),IF($E$1149=3,($N856),IF($E$1149=4,($O856),IF($E$1149=5,($P856),IF($E$1149=6,($Q856),IF($E$1149=7,($R856),IF($E$1149=8,($S856),0))))))))</f>
        <v>0</v>
      </c>
      <c r="H856" s="48">
        <f>IF($G$766&lt;&gt;0,($G$856*(H$766/$G$766)),0)</f>
        <v>0</v>
      </c>
      <c r="I856" s="48">
        <f>IF($G$766&lt;&gt;0,($G$856*(I$766/$G$766)),0)</f>
        <v>0</v>
      </c>
      <c r="J856" s="20">
        <f t="shared" si="321"/>
        <v>0</v>
      </c>
      <c r="L856" s="21">
        <v>0</v>
      </c>
      <c r="M856" s="21">
        <v>0</v>
      </c>
      <c r="N856" s="21">
        <v>0</v>
      </c>
      <c r="O856" s="21">
        <v>0</v>
      </c>
      <c r="P856" s="21">
        <v>0</v>
      </c>
      <c r="Q856" s="21">
        <v>0</v>
      </c>
      <c r="R856" s="21">
        <v>0</v>
      </c>
      <c r="S856" s="21">
        <v>0</v>
      </c>
    </row>
    <row r="857" spans="1:19" x14ac:dyDescent="0.2">
      <c r="A857" s="13">
        <f t="shared" si="311"/>
        <v>857</v>
      </c>
      <c r="B857" s="4" t="s">
        <v>478</v>
      </c>
      <c r="C857" s="4"/>
      <c r="D857" s="43"/>
      <c r="E857" s="44"/>
      <c r="F857" s="45"/>
      <c r="G857" s="46">
        <f>SUM(H857:I857)</f>
        <v>99965080.890615478</v>
      </c>
      <c r="H857" s="46">
        <f>SUM(H852:H856)</f>
        <v>93717926.763607576</v>
      </c>
      <c r="I857" s="46">
        <f>SUM(I852:I856)</f>
        <v>6247154.127007897</v>
      </c>
      <c r="J857" s="20">
        <f t="shared" si="321"/>
        <v>0</v>
      </c>
      <c r="L857" s="21">
        <v>0</v>
      </c>
      <c r="M857" s="21">
        <v>0</v>
      </c>
      <c r="N857" s="21">
        <v>0</v>
      </c>
      <c r="O857" s="21">
        <v>0</v>
      </c>
      <c r="P857" s="21">
        <v>0</v>
      </c>
      <c r="Q857" s="21">
        <v>0</v>
      </c>
      <c r="R857" s="21">
        <v>0</v>
      </c>
      <c r="S857" s="21">
        <v>0</v>
      </c>
    </row>
    <row r="858" spans="1:19" x14ac:dyDescent="0.2">
      <c r="A858" s="13">
        <f t="shared" si="311"/>
        <v>858</v>
      </c>
      <c r="B858" s="4"/>
      <c r="C858" s="4" t="s">
        <v>463</v>
      </c>
      <c r="D858" s="43" t="s">
        <v>508</v>
      </c>
      <c r="E858" s="44">
        <v>757</v>
      </c>
      <c r="F858" s="45"/>
      <c r="G858" s="21">
        <f>IF($E$1149=1,($L858),IF($E$1149=2,($M858),IF($E$1149=3,($N858),IF($E$1149=4,($O858),IF($E$1149=5,($P858),IF($E$1149=6,($Q858),IF($E$1149=7,($R858),IF($E$1149=8,($S858),0))))))))</f>
        <v>0</v>
      </c>
      <c r="H858" s="48">
        <f>IF($G$766&lt;&gt;0,($G$813*(H$766/$G$766)),0)</f>
        <v>0</v>
      </c>
      <c r="I858" s="48">
        <f>IF($G$766&lt;&gt;0,($G$813*(I$766/$G$766)),0)</f>
        <v>0</v>
      </c>
      <c r="J858" s="20">
        <f t="shared" si="321"/>
        <v>0</v>
      </c>
      <c r="L858" s="21">
        <v>0</v>
      </c>
      <c r="M858" s="21">
        <v>0</v>
      </c>
      <c r="N858" s="21">
        <v>0</v>
      </c>
      <c r="O858" s="21">
        <v>0</v>
      </c>
      <c r="P858" s="21">
        <v>0</v>
      </c>
      <c r="Q858" s="21">
        <v>0</v>
      </c>
      <c r="R858" s="21">
        <v>0</v>
      </c>
      <c r="S858" s="21">
        <v>0</v>
      </c>
    </row>
    <row r="859" spans="1:19" x14ac:dyDescent="0.2">
      <c r="A859" s="13">
        <f t="shared" si="311"/>
        <v>859</v>
      </c>
      <c r="B859" s="4" t="s">
        <v>479</v>
      </c>
      <c r="C859" s="4"/>
      <c r="D859" s="43"/>
      <c r="E859" s="44"/>
      <c r="F859" s="45"/>
      <c r="G859" s="46">
        <f>SUM(H859:I859)</f>
        <v>99965080.890615478</v>
      </c>
      <c r="H859" s="46">
        <f>SUM(H857:H858)</f>
        <v>93717926.763607576</v>
      </c>
      <c r="I859" s="46">
        <f>SUM(I857:I858)</f>
        <v>6247154.127007897</v>
      </c>
      <c r="J859" s="20">
        <f t="shared" si="321"/>
        <v>0</v>
      </c>
      <c r="L859" s="21">
        <v>0</v>
      </c>
      <c r="M859" s="21">
        <v>0</v>
      </c>
      <c r="N859" s="21">
        <v>0</v>
      </c>
      <c r="O859" s="21">
        <v>0</v>
      </c>
      <c r="P859" s="21">
        <v>0</v>
      </c>
      <c r="Q859" s="21">
        <v>0</v>
      </c>
      <c r="R859" s="21">
        <v>0</v>
      </c>
      <c r="S859" s="21">
        <v>0</v>
      </c>
    </row>
    <row r="860" spans="1:19" x14ac:dyDescent="0.2">
      <c r="A860" s="13">
        <f t="shared" si="311"/>
        <v>860</v>
      </c>
      <c r="B860" s="4"/>
      <c r="C860" s="4"/>
      <c r="D860" s="43"/>
      <c r="E860" s="44"/>
      <c r="F860" s="45"/>
      <c r="L860" s="21">
        <v>0</v>
      </c>
      <c r="M860" s="21">
        <v>0</v>
      </c>
      <c r="N860" s="21">
        <v>0</v>
      </c>
      <c r="O860" s="21">
        <v>0</v>
      </c>
      <c r="P860" s="21">
        <v>0</v>
      </c>
      <c r="Q860" s="21">
        <v>0</v>
      </c>
      <c r="R860" s="21">
        <v>0</v>
      </c>
      <c r="S860" s="21">
        <v>0</v>
      </c>
    </row>
    <row r="861" spans="1:19" x14ac:dyDescent="0.2">
      <c r="A861" s="13">
        <f t="shared" si="311"/>
        <v>861</v>
      </c>
      <c r="B861" s="4" t="s">
        <v>39</v>
      </c>
      <c r="C861" s="4" t="s">
        <v>480</v>
      </c>
      <c r="D861" s="43"/>
      <c r="E861" s="44"/>
      <c r="F861" s="45"/>
      <c r="G861" s="46">
        <f>SUM(H861:I861)</f>
        <v>99965.080890615485</v>
      </c>
      <c r="H861" s="46">
        <f>H859*0.001</f>
        <v>93717.926763607582</v>
      </c>
      <c r="I861" s="46">
        <f>I859*0.001</f>
        <v>6247.1541270078969</v>
      </c>
      <c r="J861" s="20">
        <f t="shared" ref="J861:J864" si="322">IF($E$1149=1,($G861),IF($E$1149=2,($G861),IF($E$1149=3,0,IF($E$1149=4,($H861),IF($E$1149=5,($I861),0)))))</f>
        <v>0</v>
      </c>
      <c r="L861" s="21">
        <v>0</v>
      </c>
      <c r="M861" s="21">
        <v>0</v>
      </c>
      <c r="N861" s="21">
        <v>0</v>
      </c>
      <c r="O861" s="21">
        <v>0</v>
      </c>
      <c r="P861" s="21">
        <v>0</v>
      </c>
      <c r="Q861" s="21">
        <v>0</v>
      </c>
      <c r="R861" s="21">
        <v>0</v>
      </c>
      <c r="S861" s="21">
        <v>0</v>
      </c>
    </row>
    <row r="862" spans="1:19" x14ac:dyDescent="0.2">
      <c r="A862" s="13">
        <f t="shared" si="311"/>
        <v>862</v>
      </c>
      <c r="B862" s="4" t="s">
        <v>39</v>
      </c>
      <c r="C862" s="4" t="s">
        <v>481</v>
      </c>
      <c r="D862" s="43" t="s">
        <v>508</v>
      </c>
      <c r="E862" s="44">
        <f>A848</f>
        <v>848</v>
      </c>
      <c r="F862" s="45"/>
      <c r="G862" s="21">
        <f>IF($E$1149=1,($L862),IF($E$1149=2,($M862),IF($E$1149=3,($N862),IF($E$1149=4,($O862),IF($E$1149=5,($P862),IF($E$1149=6,($Q862),IF($E$1149=7,($R862),IF($E$1149=8,($S862),0))))))))</f>
        <v>0</v>
      </c>
      <c r="H862" s="48">
        <f>IF($G$848&lt;&gt;0,($G862)*(H$848/$G$848),0)</f>
        <v>0</v>
      </c>
      <c r="I862" s="48">
        <f>IF($G$848&lt;&gt;0,($G862)*(I$848/$G$848),0)</f>
        <v>0</v>
      </c>
      <c r="J862" s="20">
        <f t="shared" si="322"/>
        <v>0</v>
      </c>
      <c r="L862" s="21">
        <v>0</v>
      </c>
      <c r="M862" s="21">
        <v>0</v>
      </c>
      <c r="N862" s="21">
        <v>0</v>
      </c>
      <c r="O862" s="21">
        <v>0</v>
      </c>
      <c r="P862" s="21">
        <v>0</v>
      </c>
      <c r="Q862" s="21">
        <v>0</v>
      </c>
      <c r="R862" s="21">
        <v>0</v>
      </c>
      <c r="S862" s="21">
        <v>0</v>
      </c>
    </row>
    <row r="863" spans="1:19" x14ac:dyDescent="0.2">
      <c r="A863" s="13">
        <f t="shared" si="311"/>
        <v>863</v>
      </c>
      <c r="B863" s="4" t="s">
        <v>39</v>
      </c>
      <c r="C863" s="4" t="s">
        <v>467</v>
      </c>
      <c r="D863" s="43" t="s">
        <v>508</v>
      </c>
      <c r="E863" s="44">
        <f>A848</f>
        <v>848</v>
      </c>
      <c r="F863" s="45"/>
      <c r="G863" s="21">
        <f>IF($E$1149=1,($L863),IF($E$1149=2,($M863),IF($E$1149=3,($N863),IF($E$1149=4,($O863),IF($E$1149=5,($P863),IF($E$1149=6,($Q863),IF($E$1149=7,($R863),IF($E$1149=8,($S863),0))))))))</f>
        <v>-202771.01</v>
      </c>
      <c r="H863" s="48">
        <f>IF($G$848&lt;&gt;0,($G863)*(H$848/$G$848),0)</f>
        <v>-207855.1672364329</v>
      </c>
      <c r="I863" s="48">
        <f>IF($G$848&lt;&gt;0,($G863)*(I$848/$G$848),0)</f>
        <v>5084.1572364328831</v>
      </c>
      <c r="J863" s="20">
        <f t="shared" si="322"/>
        <v>0</v>
      </c>
      <c r="L863" s="21">
        <v>-195359</v>
      </c>
      <c r="M863" s="21">
        <v>-202771.01</v>
      </c>
      <c r="N863" s="21">
        <v>-202771.01</v>
      </c>
      <c r="O863" s="21">
        <v>-202771.01</v>
      </c>
      <c r="P863" s="21">
        <v>-195359</v>
      </c>
      <c r="Q863" s="21">
        <v>-202771.01</v>
      </c>
      <c r="R863" s="21">
        <v>-202771.01</v>
      </c>
      <c r="S863" s="21">
        <v>-202771.01</v>
      </c>
    </row>
    <row r="864" spans="1:19" x14ac:dyDescent="0.2">
      <c r="A864" s="13">
        <f t="shared" si="311"/>
        <v>864</v>
      </c>
      <c r="B864" s="4" t="s">
        <v>482</v>
      </c>
      <c r="C864" s="4"/>
      <c r="D864" s="43" t="s">
        <v>5</v>
      </c>
      <c r="E864" s="44"/>
      <c r="F864" s="45"/>
      <c r="G864" s="46">
        <f>SUM(H864:I864)</f>
        <v>-102805.92910938454</v>
      </c>
      <c r="H864" s="46">
        <f t="shared" ref="H864:I864" si="323">SUM(H861:H863)</f>
        <v>-114137.24047282532</v>
      </c>
      <c r="I864" s="46">
        <f t="shared" si="323"/>
        <v>11331.31136344078</v>
      </c>
      <c r="J864" s="20">
        <f t="shared" si="322"/>
        <v>0</v>
      </c>
      <c r="L864" s="21">
        <v>0</v>
      </c>
      <c r="M864" s="21">
        <v>0</v>
      </c>
      <c r="N864" s="21">
        <v>0</v>
      </c>
      <c r="O864" s="21">
        <v>0</v>
      </c>
      <c r="P864" s="21">
        <v>0</v>
      </c>
      <c r="Q864" s="21">
        <v>0</v>
      </c>
      <c r="R864" s="21">
        <v>0</v>
      </c>
      <c r="S864" s="21">
        <v>0</v>
      </c>
    </row>
    <row r="865" spans="1:19" x14ac:dyDescent="0.2">
      <c r="A865" s="13">
        <f t="shared" si="311"/>
        <v>865</v>
      </c>
      <c r="B865" s="38" t="str">
        <f>"* * * TABLE 13 - DEVELOPMENT OF LABOR RELATED ALLOCATOR * * *"</f>
        <v>* * * TABLE 13 - DEVELOPMENT OF LABOR RELATED ALLOCATOR * * *</v>
      </c>
      <c r="C865" s="4"/>
      <c r="D865" s="43"/>
      <c r="E865" s="44"/>
      <c r="F865" s="45"/>
      <c r="L865" s="21">
        <v>0</v>
      </c>
      <c r="M865" s="21">
        <v>0</v>
      </c>
      <c r="N865" s="21">
        <v>0</v>
      </c>
      <c r="O865" s="21">
        <v>0</v>
      </c>
      <c r="P865" s="21">
        <v>0</v>
      </c>
      <c r="Q865" s="21">
        <v>0</v>
      </c>
      <c r="R865" s="21">
        <v>0</v>
      </c>
      <c r="S865" s="21">
        <v>0</v>
      </c>
    </row>
    <row r="866" spans="1:19" x14ac:dyDescent="0.2">
      <c r="A866" s="13">
        <f t="shared" si="311"/>
        <v>866</v>
      </c>
      <c r="B866" s="4" t="s">
        <v>219</v>
      </c>
      <c r="C866" s="4"/>
      <c r="D866" s="43"/>
      <c r="E866" s="44"/>
      <c r="F866" s="45"/>
      <c r="L866" s="21">
        <v>0</v>
      </c>
      <c r="M866" s="21">
        <v>0</v>
      </c>
      <c r="N866" s="21">
        <v>0</v>
      </c>
      <c r="O866" s="21">
        <v>0</v>
      </c>
      <c r="P866" s="21">
        <v>0</v>
      </c>
      <c r="Q866" s="21">
        <v>0</v>
      </c>
      <c r="R866" s="21">
        <v>0</v>
      </c>
      <c r="S866" s="21">
        <v>0</v>
      </c>
    </row>
    <row r="867" spans="1:19" x14ac:dyDescent="0.2">
      <c r="A867" s="13">
        <f t="shared" si="311"/>
        <v>867</v>
      </c>
      <c r="B867" s="4" t="s">
        <v>483</v>
      </c>
      <c r="C867" s="4"/>
      <c r="D867" s="43"/>
      <c r="E867" s="44" t="str">
        <f>(E$1004)</f>
        <v>D10</v>
      </c>
      <c r="F867" s="45"/>
      <c r="G867" s="21">
        <f>IF($E$1149=1,($L867),IF($E$1149=2,($M867),IF($E$1149=3,($N867),IF($E$1149=4,($O867),IF($E$1149=5,($P867),IF($E$1149=6,($Q867),IF($E$1149=7,($R867),IF($E$1149=8,($S867),0))))))))</f>
        <v>377104</v>
      </c>
      <c r="H867" s="48">
        <f>IF($G$1004&lt;&gt;0,($G867)*(H$1004/$G$1004),0)</f>
        <v>362074.8910057937</v>
      </c>
      <c r="I867" s="48">
        <f>IF($G$1004&lt;&gt;0,($G867)*(I$1004/$G$1004),0)</f>
        <v>15029.108994206332</v>
      </c>
      <c r="J867" s="20">
        <f t="shared" ref="J867" si="324">IF($E$1149=1,($G867),IF($E$1149=2,($G867),IF($E$1149=3,0,IF($E$1149=4,($H867),IF($E$1149=5,($I867),0)))))</f>
        <v>0</v>
      </c>
      <c r="L867" s="21">
        <v>377104</v>
      </c>
      <c r="M867" s="21">
        <v>377104</v>
      </c>
      <c r="N867" s="21">
        <v>377104</v>
      </c>
      <c r="O867" s="21">
        <v>377104</v>
      </c>
      <c r="P867" s="21">
        <v>377104</v>
      </c>
      <c r="Q867" s="21">
        <v>377104</v>
      </c>
      <c r="R867" s="21">
        <v>377104</v>
      </c>
      <c r="S867" s="21">
        <v>377104</v>
      </c>
    </row>
    <row r="868" spans="1:19" x14ac:dyDescent="0.2">
      <c r="A868" s="13">
        <f t="shared" si="311"/>
        <v>868</v>
      </c>
      <c r="B868" s="4" t="str">
        <f>(B415)</f>
        <v>HYDRAULIC POWER GENERATION</v>
      </c>
      <c r="C868" s="4"/>
      <c r="D868" s="43"/>
      <c r="E868" s="44"/>
      <c r="F868" s="45"/>
      <c r="L868" s="21">
        <v>0</v>
      </c>
      <c r="M868" s="21">
        <v>0</v>
      </c>
      <c r="N868" s="21">
        <v>0</v>
      </c>
      <c r="O868" s="21">
        <v>0</v>
      </c>
      <c r="P868" s="21">
        <v>0</v>
      </c>
      <c r="Q868" s="21">
        <v>0</v>
      </c>
      <c r="R868" s="21">
        <v>0</v>
      </c>
      <c r="S868" s="21">
        <v>0</v>
      </c>
    </row>
    <row r="869" spans="1:19" x14ac:dyDescent="0.2">
      <c r="A869" s="13">
        <f t="shared" si="311"/>
        <v>869</v>
      </c>
      <c r="B869" s="4" t="str">
        <f>(B416)</f>
        <v>535 / SUPERVISION &amp; ENGINEERING</v>
      </c>
      <c r="C869" s="4"/>
      <c r="D869" s="43" t="s">
        <v>508</v>
      </c>
      <c r="E869" s="44">
        <f>A875</f>
        <v>875</v>
      </c>
      <c r="F869" s="45"/>
      <c r="G869" s="21">
        <f t="shared" ref="G869:G874" si="325">IF($E$1149=1,($L869),IF($E$1149=2,($M869),IF($E$1149=3,($N869),IF($E$1149=4,($O869),IF($E$1149=5,($P869),IF($E$1149=6,($Q869),IF($E$1149=7,($R869),IF($E$1149=8,($S869),0))))))))</f>
        <v>4389580.03</v>
      </c>
      <c r="H869" s="48">
        <f>IF(SUM($G$870:$G$874)&lt;&gt;0,($G869)*(SUM(H$870:H$874)/SUM($G$870:$G$874)),0)</f>
        <v>4213315.4721860429</v>
      </c>
      <c r="I869" s="48">
        <f>IF(SUM($G$870:$G$874)&lt;&gt;0,($G869)*(SUM(I$870:I$874)/SUM($G$870:$G$874)),0)</f>
        <v>176264.55781395856</v>
      </c>
      <c r="J869" s="20">
        <f t="shared" ref="J869:J901" si="326">IF($E$1149=1,($G869),IF($E$1149=2,($G869),IF($E$1149=3,0,IF($E$1149=4,($H869),IF($E$1149=5,($I869),0)))))</f>
        <v>0</v>
      </c>
      <c r="L869" s="21">
        <v>4389580.03</v>
      </c>
      <c r="M869" s="21">
        <v>4389580.03</v>
      </c>
      <c r="N869" s="21">
        <v>4389580.03</v>
      </c>
      <c r="O869" s="21">
        <v>4389580.03</v>
      </c>
      <c r="P869" s="21">
        <v>4389580.03</v>
      </c>
      <c r="Q869" s="21">
        <v>4389580.03</v>
      </c>
      <c r="R869" s="21">
        <v>4389580.03</v>
      </c>
      <c r="S869" s="21">
        <v>4389580.03</v>
      </c>
    </row>
    <row r="870" spans="1:19" x14ac:dyDescent="0.2">
      <c r="A870" s="13">
        <f t="shared" si="311"/>
        <v>870</v>
      </c>
      <c r="B870" s="4" t="str">
        <f>B417</f>
        <v>536 / WATER FOR POWER</v>
      </c>
      <c r="C870" s="4"/>
      <c r="D870" s="43" t="s">
        <v>5</v>
      </c>
      <c r="E870" s="44" t="str">
        <f>(E$1010)</f>
        <v>E10</v>
      </c>
      <c r="F870" s="45"/>
      <c r="G870" s="21">
        <f t="shared" si="325"/>
        <v>794633.93</v>
      </c>
      <c r="H870" s="48">
        <f>IF($G$1010&lt;&gt;0,($G870)*(H$1010/$G$1010),0)</f>
        <v>759524.89268628694</v>
      </c>
      <c r="I870" s="48">
        <f>IF($G$1010&lt;&gt;0,($G870)*(I$1010/$G$1010),0)</f>
        <v>35109.037313713074</v>
      </c>
      <c r="J870" s="20">
        <f t="shared" si="326"/>
        <v>0</v>
      </c>
      <c r="L870" s="21">
        <v>794633.93</v>
      </c>
      <c r="M870" s="21">
        <v>794633.93</v>
      </c>
      <c r="N870" s="21">
        <v>794633.93</v>
      </c>
      <c r="O870" s="21">
        <v>794633.93</v>
      </c>
      <c r="P870" s="21">
        <v>794633.93</v>
      </c>
      <c r="Q870" s="21">
        <v>794633.93</v>
      </c>
      <c r="R870" s="21">
        <v>794633.93</v>
      </c>
      <c r="S870" s="21">
        <v>794633.93</v>
      </c>
    </row>
    <row r="871" spans="1:19" x14ac:dyDescent="0.2">
      <c r="A871" s="13">
        <f t="shared" si="311"/>
        <v>871</v>
      </c>
      <c r="B871" s="4" t="str">
        <f>(B422)</f>
        <v>537 / HYDRAULIC EXPENSES</v>
      </c>
      <c r="C871" s="4"/>
      <c r="D871" s="43" t="s">
        <v>5</v>
      </c>
      <c r="E871" s="44" t="str">
        <f>(E$1004)</f>
        <v>D10</v>
      </c>
      <c r="F871" s="45"/>
      <c r="G871" s="21">
        <f t="shared" si="325"/>
        <v>5938413.3099999996</v>
      </c>
      <c r="H871" s="48">
        <f t="shared" ref="H871:I874" si="327">IF($G$1004&lt;&gt;0,($G871)*(H$1004/$G$1004),0)</f>
        <v>5701743.6886524791</v>
      </c>
      <c r="I871" s="48">
        <f t="shared" si="327"/>
        <v>236669.62134752105</v>
      </c>
      <c r="J871" s="20">
        <f t="shared" si="326"/>
        <v>0</v>
      </c>
      <c r="L871" s="21">
        <v>5938413.3099999996</v>
      </c>
      <c r="M871" s="21">
        <v>5938413.3099999996</v>
      </c>
      <c r="N871" s="21">
        <v>5938413.3099999996</v>
      </c>
      <c r="O871" s="21">
        <v>5938413.3099999996</v>
      </c>
      <c r="P871" s="21">
        <v>5938413.3099999996</v>
      </c>
      <c r="Q871" s="21">
        <v>5938413.3099999996</v>
      </c>
      <c r="R871" s="21">
        <v>5938413.3099999996</v>
      </c>
      <c r="S871" s="21">
        <v>5938413.3099999996</v>
      </c>
    </row>
    <row r="872" spans="1:19" x14ac:dyDescent="0.2">
      <c r="A872" s="13">
        <f t="shared" si="311"/>
        <v>872</v>
      </c>
      <c r="B872" s="4" t="str">
        <f>(B423)</f>
        <v>538 / ELECTRIC EXPENSES</v>
      </c>
      <c r="C872" s="4"/>
      <c r="D872" s="43" t="s">
        <v>5</v>
      </c>
      <c r="E872" s="44" t="str">
        <f>(E$1004)</f>
        <v>D10</v>
      </c>
      <c r="F872" s="45"/>
      <c r="G872" s="21">
        <f t="shared" si="325"/>
        <v>1430748.39</v>
      </c>
      <c r="H872" s="48">
        <f t="shared" si="327"/>
        <v>1373727.3202245662</v>
      </c>
      <c r="I872" s="48">
        <f t="shared" si="327"/>
        <v>57021.069775433898</v>
      </c>
      <c r="J872" s="20">
        <f t="shared" si="326"/>
        <v>0</v>
      </c>
      <c r="L872" s="21">
        <v>1430748.39</v>
      </c>
      <c r="M872" s="21">
        <v>1430748.39</v>
      </c>
      <c r="N872" s="21">
        <v>1430748.39</v>
      </c>
      <c r="O872" s="21">
        <v>1430748.39</v>
      </c>
      <c r="P872" s="21">
        <v>1430748.39</v>
      </c>
      <c r="Q872" s="21">
        <v>1430748.39</v>
      </c>
      <c r="R872" s="21">
        <v>1430748.39</v>
      </c>
      <c r="S872" s="21">
        <v>1430748.39</v>
      </c>
    </row>
    <row r="873" spans="1:19" x14ac:dyDescent="0.2">
      <c r="A873" s="13">
        <f t="shared" si="311"/>
        <v>873</v>
      </c>
      <c r="B873" s="4" t="str">
        <f>(B428)</f>
        <v>539 / MISCELLANEOUS EXPENSES</v>
      </c>
      <c r="C873" s="4"/>
      <c r="D873" s="43" t="s">
        <v>5</v>
      </c>
      <c r="E873" s="44" t="str">
        <f>(E$1004)</f>
        <v>D10</v>
      </c>
      <c r="F873" s="45"/>
      <c r="G873" s="21">
        <f t="shared" si="325"/>
        <v>3255947.84</v>
      </c>
      <c r="H873" s="48">
        <f t="shared" si="327"/>
        <v>3126185.2414414841</v>
      </c>
      <c r="I873" s="48">
        <f t="shared" si="327"/>
        <v>129762.59855851615</v>
      </c>
      <c r="J873" s="20">
        <f t="shared" si="326"/>
        <v>0</v>
      </c>
      <c r="L873" s="21">
        <v>3255947.84</v>
      </c>
      <c r="M873" s="21">
        <v>3255947.84</v>
      </c>
      <c r="N873" s="21">
        <v>3255947.84</v>
      </c>
      <c r="O873" s="21">
        <v>3255947.84</v>
      </c>
      <c r="P873" s="21">
        <v>3255947.84</v>
      </c>
      <c r="Q873" s="21">
        <v>3255947.84</v>
      </c>
      <c r="R873" s="21">
        <v>3255947.84</v>
      </c>
      <c r="S873" s="21">
        <v>3255947.84</v>
      </c>
    </row>
    <row r="874" spans="1:19" x14ac:dyDescent="0.2">
      <c r="A874" s="13">
        <f t="shared" si="311"/>
        <v>874</v>
      </c>
      <c r="B874" s="4" t="str">
        <f>(B429)</f>
        <v>540 / RENTS</v>
      </c>
      <c r="C874" s="4"/>
      <c r="D874" s="43" t="s">
        <v>5</v>
      </c>
      <c r="E874" s="44" t="str">
        <f>(E$1004)</f>
        <v>D10</v>
      </c>
      <c r="F874" s="45"/>
      <c r="G874" s="21">
        <f t="shared" si="325"/>
        <v>0</v>
      </c>
      <c r="H874" s="48">
        <f t="shared" si="327"/>
        <v>0</v>
      </c>
      <c r="I874" s="48">
        <f t="shared" si="327"/>
        <v>0</v>
      </c>
      <c r="J874" s="20">
        <f t="shared" si="326"/>
        <v>0</v>
      </c>
      <c r="L874" s="21">
        <v>0</v>
      </c>
      <c r="M874" s="21">
        <v>0</v>
      </c>
      <c r="N874" s="21">
        <v>0</v>
      </c>
      <c r="O874" s="21">
        <v>0</v>
      </c>
      <c r="P874" s="21">
        <v>0</v>
      </c>
      <c r="Q874" s="21">
        <v>0</v>
      </c>
      <c r="R874" s="21">
        <v>0</v>
      </c>
      <c r="S874" s="21">
        <v>0</v>
      </c>
    </row>
    <row r="875" spans="1:19" x14ac:dyDescent="0.2">
      <c r="A875" s="13">
        <f t="shared" si="311"/>
        <v>875</v>
      </c>
      <c r="B875" s="4" t="str">
        <f>(B431)</f>
        <v/>
      </c>
      <c r="C875" s="4" t="str">
        <f>(C431)</f>
        <v>TOTAL HYDRAULIC OPERATION EXPENSES</v>
      </c>
      <c r="D875" s="43" t="s">
        <v>5</v>
      </c>
      <c r="E875" s="44" t="s">
        <v>5</v>
      </c>
      <c r="F875" s="45"/>
      <c r="G875" s="46">
        <f>SUM(H875:I875)</f>
        <v>15809323.500000002</v>
      </c>
      <c r="H875" s="46">
        <f t="shared" ref="H875:I875" si="328">SUM(H869:H874)</f>
        <v>15174496.61519086</v>
      </c>
      <c r="I875" s="46">
        <f t="shared" si="328"/>
        <v>634826.88480914279</v>
      </c>
      <c r="J875" s="20">
        <f t="shared" si="326"/>
        <v>0</v>
      </c>
      <c r="L875" s="21">
        <v>0</v>
      </c>
      <c r="M875" s="21">
        <v>0</v>
      </c>
      <c r="N875" s="21">
        <v>0</v>
      </c>
      <c r="O875" s="21">
        <v>0</v>
      </c>
      <c r="P875" s="21">
        <v>0</v>
      </c>
      <c r="Q875" s="21">
        <v>0</v>
      </c>
      <c r="R875" s="21">
        <v>0</v>
      </c>
      <c r="S875" s="21">
        <v>0</v>
      </c>
    </row>
    <row r="876" spans="1:19" x14ac:dyDescent="0.2">
      <c r="A876" s="13">
        <f t="shared" si="311"/>
        <v>876</v>
      </c>
      <c r="B876" s="4" t="str">
        <f>(B434)</f>
        <v>541 / SUPERVISION &amp; ENGINEERING</v>
      </c>
      <c r="C876" s="4"/>
      <c r="D876" s="43" t="s">
        <v>508</v>
      </c>
      <c r="E876" s="44">
        <f>A881</f>
        <v>881</v>
      </c>
      <c r="F876" s="45"/>
      <c r="G876" s="21">
        <f>IF($E$1149=1,($L876),IF($E$1149=2,($M876),IF($E$1149=3,($N876),IF($E$1149=4,($O876),IF($E$1149=5,($P876),IF($E$1149=6,($Q876),IF($E$1149=7,($R876),IF($E$1149=8,($S876),0))))))))</f>
        <v>113434.69</v>
      </c>
      <c r="H876" s="48">
        <f>IF(SUM($G$877:$G$880)&lt;&gt;0,($G876)*(SUM(H$877:H$880)/SUM($G$877:$G$880)),0)</f>
        <v>108913.86200630595</v>
      </c>
      <c r="I876" s="48">
        <f>IF(SUM($G$877:$G$880)&lt;&gt;0,($G876)*(SUM(I$877:I$880)/SUM($G$877:$G$880)),0)</f>
        <v>4520.8279936940662</v>
      </c>
      <c r="J876" s="20">
        <f t="shared" si="326"/>
        <v>0</v>
      </c>
      <c r="L876" s="21">
        <v>113434.69</v>
      </c>
      <c r="M876" s="21">
        <v>113434.69</v>
      </c>
      <c r="N876" s="21">
        <v>113434.69</v>
      </c>
      <c r="O876" s="21">
        <v>113434.69</v>
      </c>
      <c r="P876" s="21">
        <v>113434.69</v>
      </c>
      <c r="Q876" s="21">
        <v>113434.69</v>
      </c>
      <c r="R876" s="21">
        <v>113434.69</v>
      </c>
      <c r="S876" s="21">
        <v>113434.69</v>
      </c>
    </row>
    <row r="877" spans="1:19" x14ac:dyDescent="0.2">
      <c r="A877" s="13">
        <f t="shared" si="311"/>
        <v>877</v>
      </c>
      <c r="B877" s="4" t="str">
        <f>(B435)</f>
        <v>542 / STRUCTURES</v>
      </c>
      <c r="C877" s="4"/>
      <c r="D877" s="43" t="s">
        <v>5</v>
      </c>
      <c r="E877" s="44" t="str">
        <f>(E$1004)</f>
        <v>D10</v>
      </c>
      <c r="F877" s="45"/>
      <c r="G877" s="21">
        <f>IF($E$1149=1,($L877),IF($E$1149=2,($M877),IF($E$1149=3,($N877),IF($E$1149=4,($O877),IF($E$1149=5,($P877),IF($E$1149=6,($Q877),IF($E$1149=7,($R877),IF($E$1149=8,($S877),0))))))))</f>
        <v>717538.89</v>
      </c>
      <c r="H877" s="48">
        <f t="shared" ref="H877:I880" si="329">IF($G$1004&lt;&gt;0,($G877)*(H$1004/$G$1004),0)</f>
        <v>688942.08332228835</v>
      </c>
      <c r="I877" s="48">
        <f t="shared" si="329"/>
        <v>28596.806677711793</v>
      </c>
      <c r="J877" s="20">
        <f t="shared" si="326"/>
        <v>0</v>
      </c>
      <c r="L877" s="21">
        <v>717538.89</v>
      </c>
      <c r="M877" s="21">
        <v>717538.89</v>
      </c>
      <c r="N877" s="21">
        <v>717538.89</v>
      </c>
      <c r="O877" s="21">
        <v>717538.89</v>
      </c>
      <c r="P877" s="21">
        <v>717538.89</v>
      </c>
      <c r="Q877" s="21">
        <v>717538.89</v>
      </c>
      <c r="R877" s="21">
        <v>717538.89</v>
      </c>
      <c r="S877" s="21">
        <v>717538.89</v>
      </c>
    </row>
    <row r="878" spans="1:19" x14ac:dyDescent="0.2">
      <c r="A878" s="13">
        <f t="shared" si="311"/>
        <v>878</v>
      </c>
      <c r="B878" s="4" t="str">
        <f>(B436)</f>
        <v>543 / RESERVOIRS, DAMS &amp; WATERWAYS</v>
      </c>
      <c r="C878" s="4"/>
      <c r="D878" s="43" t="s">
        <v>5</v>
      </c>
      <c r="E878" s="44" t="str">
        <f>(E$1004)</f>
        <v>D10</v>
      </c>
      <c r="F878" s="45"/>
      <c r="G878" s="21">
        <f>IF($E$1149=1,($L878),IF($E$1149=2,($M878),IF($E$1149=3,($N878),IF($E$1149=4,($O878),IF($E$1149=5,($P878),IF($E$1149=6,($Q878),IF($E$1149=7,($R878),IF($E$1149=8,($S878),0))))))))</f>
        <v>373021.23</v>
      </c>
      <c r="H878" s="48">
        <f t="shared" si="329"/>
        <v>358154.83578826295</v>
      </c>
      <c r="I878" s="48">
        <f t="shared" si="329"/>
        <v>14866.394211737103</v>
      </c>
      <c r="J878" s="20">
        <f t="shared" si="326"/>
        <v>0</v>
      </c>
      <c r="L878" s="21">
        <v>373021.23</v>
      </c>
      <c r="M878" s="21">
        <v>373021.23</v>
      </c>
      <c r="N878" s="21">
        <v>373021.23</v>
      </c>
      <c r="O878" s="21">
        <v>373021.23</v>
      </c>
      <c r="P878" s="21">
        <v>373021.23</v>
      </c>
      <c r="Q878" s="21">
        <v>373021.23</v>
      </c>
      <c r="R878" s="21">
        <v>373021.23</v>
      </c>
      <c r="S878" s="21">
        <v>373021.23</v>
      </c>
    </row>
    <row r="879" spans="1:19" x14ac:dyDescent="0.2">
      <c r="A879" s="13">
        <f t="shared" si="311"/>
        <v>879</v>
      </c>
      <c r="B879" s="4" t="str">
        <f>(B437)</f>
        <v>544 / ELECTRIC PLANT</v>
      </c>
      <c r="C879" s="4"/>
      <c r="D879" s="43" t="s">
        <v>5</v>
      </c>
      <c r="E879" s="44" t="str">
        <f>(E$1004)</f>
        <v>D10</v>
      </c>
      <c r="F879" s="45"/>
      <c r="G879" s="21">
        <f>IF($E$1149=1,($L879),IF($E$1149=2,($M879),IF($E$1149=3,($N879),IF($E$1149=4,($O879),IF($E$1149=5,($P879),IF($E$1149=6,($Q879),IF($E$1149=7,($R879),IF($E$1149=8,($S879),0))))))))</f>
        <v>1677540.12</v>
      </c>
      <c r="H879" s="48">
        <f t="shared" si="329"/>
        <v>1610683.4085738845</v>
      </c>
      <c r="I879" s="48">
        <f t="shared" si="329"/>
        <v>66856.711426115799</v>
      </c>
      <c r="J879" s="20">
        <f t="shared" si="326"/>
        <v>0</v>
      </c>
      <c r="L879" s="21">
        <v>1677540.12</v>
      </c>
      <c r="M879" s="21">
        <v>1677540.12</v>
      </c>
      <c r="N879" s="21">
        <v>1677540.12</v>
      </c>
      <c r="O879" s="21">
        <v>1677540.12</v>
      </c>
      <c r="P879" s="21">
        <v>1677540.12</v>
      </c>
      <c r="Q879" s="21">
        <v>1677540.12</v>
      </c>
      <c r="R879" s="21">
        <v>1677540.12</v>
      </c>
      <c r="S879" s="21">
        <v>1677540.12</v>
      </c>
    </row>
    <row r="880" spans="1:19" x14ac:dyDescent="0.2">
      <c r="A880" s="13">
        <f t="shared" si="311"/>
        <v>880</v>
      </c>
      <c r="B880" s="4" t="str">
        <f>(B442)</f>
        <v>545 / MISCELLANEOUS HYDRAULIC PLANT</v>
      </c>
      <c r="C880" s="4"/>
      <c r="D880" s="43" t="s">
        <v>5</v>
      </c>
      <c r="E880" s="44" t="str">
        <f>(E$1004)</f>
        <v>D10</v>
      </c>
      <c r="F880" s="45"/>
      <c r="G880" s="21">
        <f>IF($E$1149=1,($L880),IF($E$1149=2,($M880),IF($E$1149=3,($N880),IF($E$1149=4,($O880),IF($E$1149=5,($P880),IF($E$1149=6,($Q880),IF($E$1149=7,($R880),IF($E$1149=8,($S880),0))))))))</f>
        <v>2121132.21</v>
      </c>
      <c r="H880" s="48">
        <f t="shared" si="329"/>
        <v>2036596.572151524</v>
      </c>
      <c r="I880" s="48">
        <f t="shared" si="329"/>
        <v>84535.637848476152</v>
      </c>
      <c r="J880" s="20">
        <f t="shared" si="326"/>
        <v>0</v>
      </c>
      <c r="L880" s="21">
        <v>2121132.21</v>
      </c>
      <c r="M880" s="21">
        <v>2121132.21</v>
      </c>
      <c r="N880" s="21">
        <v>2121132.21</v>
      </c>
      <c r="O880" s="21">
        <v>2121132.21</v>
      </c>
      <c r="P880" s="21">
        <v>2121132.21</v>
      </c>
      <c r="Q880" s="21">
        <v>2121132.21</v>
      </c>
      <c r="R880" s="21">
        <v>2121132.21</v>
      </c>
      <c r="S880" s="21">
        <v>2121132.21</v>
      </c>
    </row>
    <row r="881" spans="1:19" x14ac:dyDescent="0.2">
      <c r="A881" s="13">
        <f t="shared" si="311"/>
        <v>881</v>
      </c>
      <c r="B881" s="4" t="str">
        <f>(B444)</f>
        <v/>
      </c>
      <c r="C881" s="4" t="str">
        <f>(C444)</f>
        <v>TOTAL HYDRAULIC MAINTENANCE EXPENSES</v>
      </c>
      <c r="D881" s="43" t="s">
        <v>5</v>
      </c>
      <c r="E881" s="44" t="s">
        <v>5</v>
      </c>
      <c r="F881" s="45"/>
      <c r="G881" s="46">
        <f>SUM(H881:I881)</f>
        <v>5002667.1400000006</v>
      </c>
      <c r="H881" s="46">
        <f t="shared" ref="H881:I881" si="330">SUM(H876:H880)</f>
        <v>4803290.7618422657</v>
      </c>
      <c r="I881" s="46">
        <f t="shared" si="330"/>
        <v>199376.37815773493</v>
      </c>
      <c r="J881" s="20">
        <f t="shared" si="326"/>
        <v>0</v>
      </c>
      <c r="L881" s="21">
        <v>0</v>
      </c>
      <c r="M881" s="21">
        <v>0</v>
      </c>
      <c r="N881" s="21">
        <v>0</v>
      </c>
      <c r="O881" s="21">
        <v>0</v>
      </c>
      <c r="P881" s="21">
        <v>0</v>
      </c>
      <c r="Q881" s="21">
        <v>0</v>
      </c>
      <c r="R881" s="21">
        <v>0</v>
      </c>
      <c r="S881" s="21">
        <v>0</v>
      </c>
    </row>
    <row r="882" spans="1:19" x14ac:dyDescent="0.2">
      <c r="A882" s="13">
        <f t="shared" si="311"/>
        <v>882</v>
      </c>
      <c r="B882" s="4" t="s">
        <v>35</v>
      </c>
      <c r="C882" s="4" t="str">
        <f>(C446)</f>
        <v>TOTAL HYDRAULIC GENERATION EXPENSES</v>
      </c>
      <c r="D882" s="43" t="s">
        <v>5</v>
      </c>
      <c r="E882" s="44" t="s">
        <v>5</v>
      </c>
      <c r="F882" s="45"/>
      <c r="G882" s="46">
        <f>SUM(G875+G881)</f>
        <v>20811990.640000001</v>
      </c>
      <c r="H882" s="46">
        <f t="shared" ref="H882:I882" si="331">SUM(H875+H881)</f>
        <v>19977787.377033126</v>
      </c>
      <c r="I882" s="46">
        <f t="shared" si="331"/>
        <v>834203.26296687778</v>
      </c>
      <c r="J882" s="20">
        <f t="shared" si="326"/>
        <v>0</v>
      </c>
      <c r="L882" s="21">
        <v>0</v>
      </c>
      <c r="M882" s="21">
        <v>0</v>
      </c>
      <c r="N882" s="21">
        <v>0</v>
      </c>
      <c r="O882" s="21">
        <v>0</v>
      </c>
      <c r="P882" s="21">
        <v>0</v>
      </c>
      <c r="Q882" s="21">
        <v>0</v>
      </c>
      <c r="R882" s="21">
        <v>0</v>
      </c>
      <c r="S882" s="21">
        <v>0</v>
      </c>
    </row>
    <row r="883" spans="1:19" x14ac:dyDescent="0.2">
      <c r="A883" s="13">
        <f t="shared" si="311"/>
        <v>883</v>
      </c>
      <c r="B883" s="4" t="str">
        <f>(B448)</f>
        <v>OTHER POWER GENERATION</v>
      </c>
      <c r="C883" s="4"/>
      <c r="D883" s="43" t="s">
        <v>5</v>
      </c>
      <c r="E883" s="44" t="s">
        <v>5</v>
      </c>
      <c r="F883" s="45"/>
      <c r="L883" s="21">
        <v>0</v>
      </c>
      <c r="M883" s="21">
        <v>0</v>
      </c>
      <c r="N883" s="21">
        <v>0</v>
      </c>
      <c r="O883" s="21">
        <v>0</v>
      </c>
      <c r="P883" s="21">
        <v>0</v>
      </c>
      <c r="Q883" s="21">
        <v>0</v>
      </c>
      <c r="R883" s="21">
        <v>0</v>
      </c>
      <c r="S883" s="21">
        <v>0</v>
      </c>
    </row>
    <row r="884" spans="1:19" x14ac:dyDescent="0.2">
      <c r="A884" s="13">
        <f t="shared" si="311"/>
        <v>884</v>
      </c>
      <c r="B884" s="4" t="str">
        <f>(B450)</f>
        <v>546 / SUPERVISION &amp; ENGINEERING</v>
      </c>
      <c r="C884" s="4"/>
      <c r="D884" s="43" t="s">
        <v>508</v>
      </c>
      <c r="E884" s="44">
        <f>A888</f>
        <v>888</v>
      </c>
      <c r="F884" s="45"/>
      <c r="G884" s="21">
        <f>IF($E$1149=1,($L884),IF($E$1149=2,($M884),IF($E$1149=3,($N884),IF($E$1149=4,($O884),IF($E$1149=5,($P884),IF($E$1149=6,($Q884),IF($E$1149=7,($R884),IF($E$1149=8,($S884),0))))))))</f>
        <v>522498.66</v>
      </c>
      <c r="H884" s="48">
        <f>IF(SUM($G$885:$G$887)&lt;&gt;0,($G884)*(SUM(H$885:H$887)/SUM($G$885:$G$887)),0)</f>
        <v>501674.98984410998</v>
      </c>
      <c r="I884" s="48">
        <f>IF(SUM($G$885:$G$887)&lt;&gt;0,($G884)*(SUM(I$885:I$887)/SUM($G$885:$G$887)),0)</f>
        <v>20823.670155890035</v>
      </c>
      <c r="J884" s="20">
        <f t="shared" si="326"/>
        <v>0</v>
      </c>
      <c r="L884" s="21">
        <v>522498.66</v>
      </c>
      <c r="M884" s="21">
        <v>522498.66</v>
      </c>
      <c r="N884" s="21">
        <v>522498.66</v>
      </c>
      <c r="O884" s="21">
        <v>522498.66</v>
      </c>
      <c r="P884" s="21">
        <v>522498.66</v>
      </c>
      <c r="Q884" s="21">
        <v>522498.66</v>
      </c>
      <c r="R884" s="21">
        <v>522498.66</v>
      </c>
      <c r="S884" s="21">
        <v>522498.66</v>
      </c>
    </row>
    <row r="885" spans="1:19" x14ac:dyDescent="0.2">
      <c r="A885" s="13">
        <f t="shared" si="311"/>
        <v>885</v>
      </c>
      <c r="B885" s="4" t="str">
        <f>(B456)</f>
        <v>548 / GENERATING EXPENSES</v>
      </c>
      <c r="C885" s="4"/>
      <c r="D885" s="43" t="s">
        <v>5</v>
      </c>
      <c r="E885" s="44" t="str">
        <f>(E$1004)</f>
        <v>D10</v>
      </c>
      <c r="F885" s="45"/>
      <c r="G885" s="21">
        <f>IF($E$1149=1,($L885),IF($E$1149=2,($M885),IF($E$1149=3,($N885),IF($E$1149=4,($O885),IF($E$1149=5,($P885),IF($E$1149=6,($Q885),IF($E$1149=7,($R885),IF($E$1149=8,($S885),0))))))))</f>
        <v>0</v>
      </c>
      <c r="H885" s="48">
        <f t="shared" ref="H885:I887" si="332">IF($G$1004&lt;&gt;0,($G885)*(H$1004/$G$1004),0)</f>
        <v>0</v>
      </c>
      <c r="I885" s="48">
        <f t="shared" si="332"/>
        <v>0</v>
      </c>
      <c r="J885" s="20">
        <f t="shared" si="326"/>
        <v>0</v>
      </c>
      <c r="L885" s="21">
        <v>0</v>
      </c>
      <c r="M885" s="21">
        <v>0</v>
      </c>
      <c r="N885" s="21">
        <v>0</v>
      </c>
      <c r="O885" s="21">
        <v>0</v>
      </c>
      <c r="P885" s="21">
        <v>0</v>
      </c>
      <c r="Q885" s="21">
        <v>0</v>
      </c>
      <c r="R885" s="21">
        <v>0</v>
      </c>
      <c r="S885" s="21">
        <v>0</v>
      </c>
    </row>
    <row r="886" spans="1:19" x14ac:dyDescent="0.2">
      <c r="A886" s="13">
        <f t="shared" si="311"/>
        <v>886</v>
      </c>
      <c r="B886" s="4" t="str">
        <f>(B461)</f>
        <v>549 / MISCELLANEOUS EXPENSES</v>
      </c>
      <c r="C886" s="4"/>
      <c r="D886" s="43" t="s">
        <v>5</v>
      </c>
      <c r="E886" s="44" t="str">
        <f>(E$1004)</f>
        <v>D10</v>
      </c>
      <c r="F886" s="45"/>
      <c r="G886" s="21">
        <f>IF($E$1149=1,($L886),IF($E$1149=2,($M886),IF($E$1149=3,($N886),IF($E$1149=4,($O886),IF($E$1149=5,($P886),IF($E$1149=6,($Q886),IF($E$1149=7,($R886),IF($E$1149=8,($S886),0))))))))</f>
        <v>3072034.18</v>
      </c>
      <c r="H886" s="48">
        <f t="shared" si="332"/>
        <v>2949601.2794602364</v>
      </c>
      <c r="I886" s="48">
        <f t="shared" si="332"/>
        <v>122432.90053976429</v>
      </c>
      <c r="J886" s="20">
        <f t="shared" si="326"/>
        <v>0</v>
      </c>
      <c r="L886" s="21">
        <v>3072034.18</v>
      </c>
      <c r="M886" s="21">
        <v>3072034.18</v>
      </c>
      <c r="N886" s="21">
        <v>3072034.18</v>
      </c>
      <c r="O886" s="21">
        <v>3072034.18</v>
      </c>
      <c r="P886" s="21">
        <v>3072034.18</v>
      </c>
      <c r="Q886" s="21">
        <v>3072034.18</v>
      </c>
      <c r="R886" s="21">
        <v>3072034.18</v>
      </c>
      <c r="S886" s="21">
        <v>3072034.18</v>
      </c>
    </row>
    <row r="887" spans="1:19" x14ac:dyDescent="0.2">
      <c r="A887" s="13">
        <f t="shared" si="311"/>
        <v>887</v>
      </c>
      <c r="B887" s="4" t="str">
        <f>(B462)</f>
        <v>550 / RENTS</v>
      </c>
      <c r="C887" s="4"/>
      <c r="D887" s="43" t="s">
        <v>5</v>
      </c>
      <c r="E887" s="44" t="str">
        <f>(E$1004)</f>
        <v>D10</v>
      </c>
      <c r="F887" s="45"/>
      <c r="G887" s="21">
        <f>IF($E$1149=1,($L887),IF($E$1149=2,($M887),IF($E$1149=3,($N887),IF($E$1149=4,($O887),IF($E$1149=5,($P887),IF($E$1149=6,($Q887),IF($E$1149=7,($R887),IF($E$1149=8,($S887),0))))))))</f>
        <v>455959.62</v>
      </c>
      <c r="H887" s="48">
        <f t="shared" si="332"/>
        <v>437787.79783439881</v>
      </c>
      <c r="I887" s="48">
        <f t="shared" si="332"/>
        <v>18171.822165601268</v>
      </c>
      <c r="J887" s="20">
        <f t="shared" si="326"/>
        <v>0</v>
      </c>
      <c r="L887" s="21">
        <v>455959.62</v>
      </c>
      <c r="M887" s="21">
        <v>455959.62</v>
      </c>
      <c r="N887" s="21">
        <v>455959.62</v>
      </c>
      <c r="O887" s="21">
        <v>455959.62</v>
      </c>
      <c r="P887" s="21">
        <v>455959.62</v>
      </c>
      <c r="Q887" s="21">
        <v>455959.62</v>
      </c>
      <c r="R887" s="21">
        <v>455959.62</v>
      </c>
      <c r="S887" s="21">
        <v>455959.62</v>
      </c>
    </row>
    <row r="888" spans="1:19" x14ac:dyDescent="0.2">
      <c r="A888" s="13">
        <f t="shared" si="311"/>
        <v>888</v>
      </c>
      <c r="B888" s="4" t="str">
        <f>(B464)</f>
        <v/>
      </c>
      <c r="C888" s="4" t="str">
        <f>(C464)</f>
        <v>TOTAL OTHER POWER OPER EXPENSES</v>
      </c>
      <c r="D888" s="43" t="s">
        <v>5</v>
      </c>
      <c r="E888" s="44" t="s">
        <v>5</v>
      </c>
      <c r="F888" s="45"/>
      <c r="G888" s="46">
        <f>SUM(H888:I888)</f>
        <v>4050492.4600000004</v>
      </c>
      <c r="H888" s="46">
        <f t="shared" ref="H888:I888" si="333">SUM(H884:H887)</f>
        <v>3889064.067138745</v>
      </c>
      <c r="I888" s="46">
        <f t="shared" si="333"/>
        <v>161428.39286125559</v>
      </c>
      <c r="J888" s="20">
        <f t="shared" si="326"/>
        <v>0</v>
      </c>
      <c r="L888" s="21">
        <v>0</v>
      </c>
      <c r="M888" s="21">
        <v>0</v>
      </c>
      <c r="N888" s="21">
        <v>0</v>
      </c>
      <c r="O888" s="21">
        <v>0</v>
      </c>
      <c r="P888" s="21">
        <v>0</v>
      </c>
      <c r="Q888" s="21">
        <v>0</v>
      </c>
      <c r="R888" s="21">
        <v>0</v>
      </c>
      <c r="S888" s="21">
        <v>0</v>
      </c>
    </row>
    <row r="889" spans="1:19" x14ac:dyDescent="0.2">
      <c r="A889" s="13">
        <f t="shared" si="311"/>
        <v>889</v>
      </c>
      <c r="B889" s="4" t="s">
        <v>35</v>
      </c>
      <c r="C889" s="4" t="s">
        <v>35</v>
      </c>
      <c r="D889" s="43"/>
      <c r="E889" s="44"/>
      <c r="F889" s="45"/>
      <c r="G889" s="46"/>
      <c r="H889" s="46"/>
      <c r="I889" s="46"/>
      <c r="L889" s="21">
        <v>0</v>
      </c>
      <c r="M889" s="21">
        <v>0</v>
      </c>
      <c r="N889" s="21">
        <v>0</v>
      </c>
      <c r="O889" s="21">
        <v>0</v>
      </c>
      <c r="P889" s="21">
        <v>0</v>
      </c>
      <c r="Q889" s="21">
        <v>0</v>
      </c>
      <c r="R889" s="21">
        <v>0</v>
      </c>
      <c r="S889" s="21">
        <v>0</v>
      </c>
    </row>
    <row r="890" spans="1:19" x14ac:dyDescent="0.2">
      <c r="A890" s="13">
        <f t="shared" si="311"/>
        <v>890</v>
      </c>
      <c r="B890" s="4" t="str">
        <f>(B467)</f>
        <v>551 / SUPERVISION &amp; ENGINEERING</v>
      </c>
      <c r="C890" s="4"/>
      <c r="D890" s="43" t="s">
        <v>508</v>
      </c>
      <c r="E890" s="44">
        <f>A894</f>
        <v>894</v>
      </c>
      <c r="F890" s="45"/>
      <c r="G890" s="21">
        <f>IF($E$1149=1,($L890),IF($E$1149=2,($M890),IF($E$1149=3,($N890),IF($E$1149=4,($O890),IF($E$1149=5,($P890),IF($E$1149=6,($Q890),IF($E$1149=7,($R890),IF($E$1149=8,($S890),0))))))))</f>
        <v>0</v>
      </c>
      <c r="H890" s="48">
        <f>IF(SUM($G$891:$G$893)&lt;&gt;0,($G890)*(SUM(H$891:H$893)/SUM($G$891:$G$893)),0)</f>
        <v>0</v>
      </c>
      <c r="I890" s="48">
        <f>IF(SUM($G$891:$G$893)&lt;&gt;0,($G890)*(SUM(I$891:I$893)/SUM($G$891:$G$893)),0)</f>
        <v>0</v>
      </c>
      <c r="J890" s="20">
        <f t="shared" si="326"/>
        <v>0</v>
      </c>
      <c r="L890" s="21">
        <v>0</v>
      </c>
      <c r="M890" s="21">
        <v>0</v>
      </c>
      <c r="N890" s="21">
        <v>0</v>
      </c>
      <c r="O890" s="21">
        <v>0</v>
      </c>
      <c r="P890" s="21">
        <v>0</v>
      </c>
      <c r="Q890" s="21">
        <v>0</v>
      </c>
      <c r="R890" s="21">
        <v>0</v>
      </c>
      <c r="S890" s="21">
        <v>0</v>
      </c>
    </row>
    <row r="891" spans="1:19" x14ac:dyDescent="0.2">
      <c r="A891" s="13">
        <f t="shared" si="311"/>
        <v>891</v>
      </c>
      <c r="B891" s="4" t="str">
        <f>(B468)</f>
        <v>552 / STRUCTURES</v>
      </c>
      <c r="C891" s="4"/>
      <c r="D891" s="43" t="s">
        <v>5</v>
      </c>
      <c r="E891" s="44" t="str">
        <f>(E$1004)</f>
        <v>D10</v>
      </c>
      <c r="F891" s="45"/>
      <c r="G891" s="21">
        <f>IF($E$1149=1,($L891),IF($E$1149=2,($M891),IF($E$1149=3,($N891),IF($E$1149=4,($O891),IF($E$1149=5,($P891),IF($E$1149=6,($Q891),IF($E$1149=7,($R891),IF($E$1149=8,($S891),0))))))))</f>
        <v>44005.49</v>
      </c>
      <c r="H891" s="48">
        <f t="shared" ref="H891:I893" si="334">IF($G$1004&lt;&gt;0,($G891)*(H$1004/$G$1004),0)</f>
        <v>42251.694480585051</v>
      </c>
      <c r="I891" s="48">
        <f t="shared" si="334"/>
        <v>1753.7955194149538</v>
      </c>
      <c r="J891" s="20">
        <f t="shared" si="326"/>
        <v>0</v>
      </c>
      <c r="L891" s="21">
        <v>44005.49</v>
      </c>
      <c r="M891" s="21">
        <v>44005.49</v>
      </c>
      <c r="N891" s="21">
        <v>44005.49</v>
      </c>
      <c r="O891" s="21">
        <v>44005.49</v>
      </c>
      <c r="P891" s="21">
        <v>44005.49</v>
      </c>
      <c r="Q891" s="21">
        <v>44005.49</v>
      </c>
      <c r="R891" s="21">
        <v>44005.49</v>
      </c>
      <c r="S891" s="21">
        <v>44005.49</v>
      </c>
    </row>
    <row r="892" spans="1:19" x14ac:dyDescent="0.2">
      <c r="A892" s="13">
        <f t="shared" si="311"/>
        <v>892</v>
      </c>
      <c r="B892" s="4" t="str">
        <f>(B469)</f>
        <v>553 / GENERATING &amp; ELECTRIC PLANT</v>
      </c>
      <c r="C892" s="4"/>
      <c r="D892" s="43" t="s">
        <v>5</v>
      </c>
      <c r="E892" s="44" t="str">
        <f>(E$1004)</f>
        <v>D10</v>
      </c>
      <c r="F892" s="45"/>
      <c r="G892" s="21">
        <f>IF($E$1149=1,($L892),IF($E$1149=2,($M892),IF($E$1149=3,($N892),IF($E$1149=4,($O892),IF($E$1149=5,($P892),IF($E$1149=6,($Q892),IF($E$1149=7,($R892),IF($E$1149=8,($S892),0))))))))</f>
        <v>39802.21</v>
      </c>
      <c r="H892" s="48">
        <f t="shared" si="334"/>
        <v>38215.932070568626</v>
      </c>
      <c r="I892" s="48">
        <f t="shared" si="334"/>
        <v>1586.2779294313748</v>
      </c>
      <c r="J892" s="20">
        <f t="shared" si="326"/>
        <v>0</v>
      </c>
      <c r="L892" s="21">
        <v>39802.21</v>
      </c>
      <c r="M892" s="21">
        <v>39802.21</v>
      </c>
      <c r="N892" s="21">
        <v>39802.21</v>
      </c>
      <c r="O892" s="21">
        <v>39802.21</v>
      </c>
      <c r="P892" s="21">
        <v>39802.21</v>
      </c>
      <c r="Q892" s="21">
        <v>39802.21</v>
      </c>
      <c r="R892" s="21">
        <v>39802.21</v>
      </c>
      <c r="S892" s="21">
        <v>39802.21</v>
      </c>
    </row>
    <row r="893" spans="1:19" x14ac:dyDescent="0.2">
      <c r="A893" s="13">
        <f t="shared" si="311"/>
        <v>893</v>
      </c>
      <c r="B893" s="4" t="str">
        <f>(B474)</f>
        <v>554 / MISCELLANEOUS EXPENSES</v>
      </c>
      <c r="C893" s="4"/>
      <c r="D893" s="43" t="s">
        <v>5</v>
      </c>
      <c r="E893" s="44" t="str">
        <f>(E$1004)</f>
        <v>D10</v>
      </c>
      <c r="F893" s="45"/>
      <c r="G893" s="21">
        <f>IF($E$1149=1,($L893),IF($E$1149=2,($M893),IF($E$1149=3,($N893),IF($E$1149=4,($O893),IF($E$1149=5,($P893),IF($E$1149=6,($Q893),IF($E$1149=7,($R893),IF($E$1149=8,($S893),0))))))))</f>
        <v>551490.9</v>
      </c>
      <c r="H893" s="48">
        <f t="shared" si="334"/>
        <v>529511.77263616165</v>
      </c>
      <c r="I893" s="48">
        <f t="shared" si="334"/>
        <v>21979.127363838477</v>
      </c>
      <c r="J893" s="20">
        <f t="shared" si="326"/>
        <v>0</v>
      </c>
      <c r="L893" s="21">
        <v>551490.9</v>
      </c>
      <c r="M893" s="21">
        <v>551490.9</v>
      </c>
      <c r="N893" s="21">
        <v>551490.9</v>
      </c>
      <c r="O893" s="21">
        <v>551490.9</v>
      </c>
      <c r="P893" s="21">
        <v>551490.9</v>
      </c>
      <c r="Q893" s="21">
        <v>551490.9</v>
      </c>
      <c r="R893" s="21">
        <v>551490.9</v>
      </c>
      <c r="S893" s="21">
        <v>551490.9</v>
      </c>
    </row>
    <row r="894" spans="1:19" x14ac:dyDescent="0.2">
      <c r="A894" s="13">
        <f t="shared" si="311"/>
        <v>894</v>
      </c>
      <c r="B894" s="4" t="str">
        <f>(B475)</f>
        <v/>
      </c>
      <c r="C894" s="4" t="str">
        <f>(C475)</f>
        <v>TOTAL OTHER POWER MAINT EXPENSES</v>
      </c>
      <c r="D894" s="43" t="s">
        <v>5</v>
      </c>
      <c r="E894" s="44" t="s">
        <v>5</v>
      </c>
      <c r="F894" s="45"/>
      <c r="G894" s="46">
        <f>SUM(H894:I894)</f>
        <v>635298.60000000021</v>
      </c>
      <c r="H894" s="46">
        <f t="shared" ref="H894:I894" si="335">SUM(H890:H893)</f>
        <v>609979.39918731537</v>
      </c>
      <c r="I894" s="46">
        <f t="shared" si="335"/>
        <v>25319.200812684805</v>
      </c>
      <c r="J894" s="20">
        <f t="shared" si="326"/>
        <v>0</v>
      </c>
      <c r="L894" s="21">
        <v>0</v>
      </c>
      <c r="M894" s="21">
        <v>0</v>
      </c>
      <c r="N894" s="21">
        <v>0</v>
      </c>
      <c r="O894" s="21">
        <v>0</v>
      </c>
      <c r="P894" s="21">
        <v>0</v>
      </c>
      <c r="Q894" s="21">
        <v>0</v>
      </c>
      <c r="R894" s="21">
        <v>0</v>
      </c>
      <c r="S894" s="21">
        <v>0</v>
      </c>
    </row>
    <row r="895" spans="1:19" x14ac:dyDescent="0.2">
      <c r="A895" s="13">
        <f t="shared" si="311"/>
        <v>895</v>
      </c>
      <c r="B895" s="4" t="str">
        <f>(B477)</f>
        <v/>
      </c>
      <c r="C895" s="4" t="str">
        <f>(C477)</f>
        <v>TOTAL OTHER POWER GENERATION EXP</v>
      </c>
      <c r="D895" s="43" t="s">
        <v>5</v>
      </c>
      <c r="E895" s="44" t="s">
        <v>5</v>
      </c>
      <c r="F895" s="45"/>
      <c r="G895" s="46">
        <f>SUM(H895:I895)</f>
        <v>4685791.0600000015</v>
      </c>
      <c r="H895" s="46">
        <f t="shared" ref="H895:I895" si="336">SUM(H888+H894)</f>
        <v>4499043.4663260607</v>
      </c>
      <c r="I895" s="46">
        <f t="shared" si="336"/>
        <v>186747.5936739404</v>
      </c>
      <c r="J895" s="20">
        <f t="shared" si="326"/>
        <v>0</v>
      </c>
      <c r="L895" s="21">
        <v>0</v>
      </c>
      <c r="M895" s="21">
        <v>0</v>
      </c>
      <c r="N895" s="21">
        <v>0</v>
      </c>
      <c r="O895" s="21">
        <v>0</v>
      </c>
      <c r="P895" s="21">
        <v>0</v>
      </c>
      <c r="Q895" s="21">
        <v>0</v>
      </c>
      <c r="R895" s="21">
        <v>0</v>
      </c>
      <c r="S895" s="21">
        <v>0</v>
      </c>
    </row>
    <row r="896" spans="1:19" x14ac:dyDescent="0.2">
      <c r="A896" s="13">
        <f t="shared" si="311"/>
        <v>896</v>
      </c>
      <c r="B896" s="4" t="s">
        <v>484</v>
      </c>
      <c r="C896" s="4"/>
      <c r="D896" s="43" t="s">
        <v>5</v>
      </c>
      <c r="E896" s="44" t="str">
        <f>(E$1010)</f>
        <v>E10</v>
      </c>
      <c r="F896" s="45"/>
      <c r="G896" s="21">
        <f>IF($E$1149=1,($L896),IF($E$1149=2,($M896),IF($E$1149=3,($N896),IF($E$1149=4,($O896),IF($E$1149=5,($P896),IF($E$1149=6,($Q896),IF($E$1149=7,($R896),IF($E$1149=8,($S896),0))))))))</f>
        <v>0</v>
      </c>
      <c r="H896" s="48">
        <f>IF($G$1010&lt;&gt;0,($G896)*(H$1010/$G$1010),0)</f>
        <v>0</v>
      </c>
      <c r="I896" s="48">
        <f>IF($G$1010&lt;&gt;0,($G896)*(I$1010/$G$1010),0)</f>
        <v>0</v>
      </c>
      <c r="J896" s="20">
        <f t="shared" si="326"/>
        <v>0</v>
      </c>
      <c r="L896" s="21">
        <v>0</v>
      </c>
      <c r="M896" s="21">
        <v>0</v>
      </c>
      <c r="N896" s="21">
        <v>0</v>
      </c>
      <c r="O896" s="21">
        <v>0</v>
      </c>
      <c r="P896" s="21">
        <v>0</v>
      </c>
      <c r="Q896" s="21">
        <v>0</v>
      </c>
      <c r="R896" s="21">
        <v>0</v>
      </c>
      <c r="S896" s="21">
        <v>0</v>
      </c>
    </row>
    <row r="897" spans="1:19" x14ac:dyDescent="0.2">
      <c r="A897" s="13">
        <f t="shared" si="311"/>
        <v>897</v>
      </c>
      <c r="B897" s="4" t="str">
        <f>(B492)</f>
        <v>556 / LOAD CONTROL &amp; DISPATCHING EXPENSES</v>
      </c>
      <c r="C897" s="4"/>
      <c r="D897" s="43" t="s">
        <v>5</v>
      </c>
      <c r="E897" s="44" t="str">
        <f>(E$1004)</f>
        <v>D10</v>
      </c>
      <c r="F897" s="45"/>
      <c r="G897" s="21">
        <f>IF($E$1149=1,($L897),IF($E$1149=2,($M897),IF($E$1149=3,($N897),IF($E$1149=4,($O897),IF($E$1149=5,($P897),IF($E$1149=6,($Q897),IF($E$1149=7,($R897),IF($E$1149=8,($S897),0))))))))</f>
        <v>63.97</v>
      </c>
      <c r="H897" s="48">
        <f>IF($G$1004&lt;&gt;0,($G897)*(H$1004/$G$1004),0)</f>
        <v>61.420538571960584</v>
      </c>
      <c r="I897" s="48">
        <f>IF($G$1004&lt;&gt;0,($G897)*(I$1004/$G$1004),0)</f>
        <v>2.5494614280394239</v>
      </c>
      <c r="J897" s="20">
        <f t="shared" si="326"/>
        <v>0</v>
      </c>
      <c r="L897" s="21">
        <v>63.97</v>
      </c>
      <c r="M897" s="21">
        <v>63.97</v>
      </c>
      <c r="N897" s="21">
        <v>63.97</v>
      </c>
      <c r="O897" s="21">
        <v>63.97</v>
      </c>
      <c r="P897" s="21">
        <v>63.97</v>
      </c>
      <c r="Q897" s="21">
        <v>63.97</v>
      </c>
      <c r="R897" s="21">
        <v>63.97</v>
      </c>
      <c r="S897" s="21">
        <v>63.97</v>
      </c>
    </row>
    <row r="898" spans="1:19" x14ac:dyDescent="0.2">
      <c r="A898" s="13">
        <f t="shared" si="311"/>
        <v>898</v>
      </c>
      <c r="B898" s="4" t="str">
        <f>(B497)</f>
        <v/>
      </c>
      <c r="C898" s="4"/>
      <c r="D898" s="43" t="s">
        <v>5</v>
      </c>
      <c r="E898" s="44" t="str">
        <f>(E$1004)</f>
        <v>D10</v>
      </c>
      <c r="F898" s="45"/>
      <c r="G898" s="21">
        <f>IF($E$1149=1,($L898),IF($E$1149=2,($M898),IF($E$1149=3,($N898),IF($E$1149=4,($O898),IF($E$1149=5,($P898),IF($E$1149=6,($Q898),IF($E$1149=7,($R898),IF($E$1149=8,($S898),0))))))))</f>
        <v>4140460.45</v>
      </c>
      <c r="H898" s="48">
        <f>IF($G$1004&lt;&gt;0,($G898)*(H$1004/$G$1004),0)</f>
        <v>3975446.4713913128</v>
      </c>
      <c r="I898" s="48">
        <f>IF($G$1004&lt;&gt;0,($G898)*(I$1004/$G$1004),0)</f>
        <v>165013.97860868779</v>
      </c>
      <c r="J898" s="20">
        <f t="shared" si="326"/>
        <v>0</v>
      </c>
      <c r="L898" s="21">
        <v>4140460.45</v>
      </c>
      <c r="M898" s="21">
        <v>4140460.45</v>
      </c>
      <c r="N898" s="21">
        <v>4140460.45</v>
      </c>
      <c r="O898" s="21">
        <v>4140460.45</v>
      </c>
      <c r="P898" s="21">
        <v>4140460.45</v>
      </c>
      <c r="Q898" s="21">
        <v>4140460.45</v>
      </c>
      <c r="R898" s="21">
        <v>4140460.45</v>
      </c>
      <c r="S898" s="21">
        <v>4140460.45</v>
      </c>
    </row>
    <row r="899" spans="1:19" x14ac:dyDescent="0.2">
      <c r="A899" s="13">
        <f t="shared" ref="A899:A962" si="337">A898+1</f>
        <v>899</v>
      </c>
      <c r="B899" s="4" t="str">
        <f>(B499)</f>
        <v/>
      </c>
      <c r="C899" s="4" t="str">
        <f>(C499)</f>
        <v>TOTAL OTHER POWER SUPPLY EXPENSES</v>
      </c>
      <c r="D899" s="43" t="s">
        <v>5</v>
      </c>
      <c r="E899" s="44" t="s">
        <v>5</v>
      </c>
      <c r="F899" s="45"/>
      <c r="G899" s="46">
        <f>SUM(G896:G898)</f>
        <v>4140524.4200000004</v>
      </c>
      <c r="H899" s="46">
        <f t="shared" ref="H899:I899" si="338">SUM(H896:H898)</f>
        <v>3975507.8919298849</v>
      </c>
      <c r="I899" s="46">
        <f t="shared" si="338"/>
        <v>165016.52807011583</v>
      </c>
      <c r="J899" s="20">
        <f t="shared" si="326"/>
        <v>0</v>
      </c>
      <c r="L899" s="21">
        <v>0</v>
      </c>
      <c r="M899" s="21">
        <v>0</v>
      </c>
      <c r="N899" s="21">
        <v>0</v>
      </c>
      <c r="O899" s="21">
        <v>0</v>
      </c>
      <c r="P899" s="21">
        <v>0</v>
      </c>
      <c r="Q899" s="21">
        <v>0</v>
      </c>
      <c r="R899" s="21">
        <v>0</v>
      </c>
      <c r="S899" s="21">
        <v>0</v>
      </c>
    </row>
    <row r="900" spans="1:19" x14ac:dyDescent="0.2">
      <c r="A900" s="13">
        <f t="shared" si="337"/>
        <v>900</v>
      </c>
      <c r="B900" s="4" t="s">
        <v>35</v>
      </c>
      <c r="C900" s="4" t="s">
        <v>39</v>
      </c>
      <c r="D900" s="43" t="s">
        <v>5</v>
      </c>
      <c r="E900" s="44" t="s">
        <v>5</v>
      </c>
      <c r="F900" s="45"/>
      <c r="G900" s="46"/>
      <c r="H900" s="46"/>
      <c r="I900" s="46"/>
      <c r="L900" s="21">
        <v>0</v>
      </c>
      <c r="M900" s="21">
        <v>0</v>
      </c>
      <c r="N900" s="21">
        <v>0</v>
      </c>
      <c r="O900" s="21">
        <v>0</v>
      </c>
      <c r="P900" s="21">
        <v>0</v>
      </c>
      <c r="Q900" s="21">
        <v>0</v>
      </c>
      <c r="R900" s="21">
        <v>0</v>
      </c>
      <c r="S900" s="21">
        <v>0</v>
      </c>
    </row>
    <row r="901" spans="1:19" x14ac:dyDescent="0.2">
      <c r="A901" s="13">
        <f t="shared" si="337"/>
        <v>901</v>
      </c>
      <c r="B901" s="4" t="str">
        <f>(B501)</f>
        <v/>
      </c>
      <c r="C901" s="4" t="str">
        <f>(C501)</f>
        <v>TOTAL PRODUCTION EXPENSES</v>
      </c>
      <c r="D901" s="43" t="s">
        <v>5</v>
      </c>
      <c r="E901" s="44" t="s">
        <v>5</v>
      </c>
      <c r="F901" s="45"/>
      <c r="G901" s="46">
        <f>SUM(G867+G882+G895+G899)</f>
        <v>30015410.120000005</v>
      </c>
      <c r="H901" s="46">
        <f t="shared" ref="H901:I901" si="339">SUM(H867+H882+H895+H899)</f>
        <v>28814413.626294866</v>
      </c>
      <c r="I901" s="46">
        <f t="shared" si="339"/>
        <v>1200996.4937051404</v>
      </c>
      <c r="J901" s="20">
        <f t="shared" si="326"/>
        <v>0</v>
      </c>
      <c r="L901" s="21">
        <v>0</v>
      </c>
      <c r="M901" s="21">
        <v>0</v>
      </c>
      <c r="N901" s="21">
        <v>0</v>
      </c>
      <c r="O901" s="21">
        <v>0</v>
      </c>
      <c r="P901" s="21">
        <v>0</v>
      </c>
      <c r="Q901" s="21">
        <v>0</v>
      </c>
      <c r="R901" s="21">
        <v>0</v>
      </c>
      <c r="S901" s="21">
        <v>0</v>
      </c>
    </row>
    <row r="902" spans="1:19" x14ac:dyDescent="0.2">
      <c r="A902" s="13">
        <f t="shared" si="337"/>
        <v>902</v>
      </c>
      <c r="B902" s="4" t="s">
        <v>35</v>
      </c>
      <c r="C902" s="4" t="s">
        <v>39</v>
      </c>
      <c r="D902" s="43" t="s">
        <v>5</v>
      </c>
      <c r="E902" s="44" t="s">
        <v>5</v>
      </c>
      <c r="F902" s="45"/>
      <c r="L902" s="21">
        <v>0</v>
      </c>
      <c r="M902" s="21">
        <v>0</v>
      </c>
      <c r="N902" s="21">
        <v>0</v>
      </c>
      <c r="O902" s="21">
        <v>0</v>
      </c>
      <c r="P902" s="21">
        <v>0</v>
      </c>
      <c r="Q902" s="21">
        <v>0</v>
      </c>
      <c r="R902" s="21">
        <v>0</v>
      </c>
      <c r="S902" s="21">
        <v>0</v>
      </c>
    </row>
    <row r="903" spans="1:19" x14ac:dyDescent="0.2">
      <c r="A903" s="13">
        <f t="shared" si="337"/>
        <v>903</v>
      </c>
      <c r="B903" s="38" t="str">
        <f>B865</f>
        <v>* * * TABLE 13 - DEVELOPMENT OF LABOR RELATED ALLOCATOR * * *</v>
      </c>
      <c r="C903" s="4"/>
      <c r="D903" s="43"/>
      <c r="E903" s="44"/>
      <c r="F903" s="45"/>
      <c r="L903" s="21">
        <v>0</v>
      </c>
      <c r="M903" s="21">
        <v>0</v>
      </c>
      <c r="N903" s="21">
        <v>0</v>
      </c>
      <c r="O903" s="21">
        <v>0</v>
      </c>
      <c r="P903" s="21">
        <v>0</v>
      </c>
      <c r="Q903" s="21">
        <v>0</v>
      </c>
      <c r="R903" s="21">
        <v>0</v>
      </c>
      <c r="S903" s="21">
        <v>0</v>
      </c>
    </row>
    <row r="904" spans="1:19" x14ac:dyDescent="0.2">
      <c r="A904" s="13">
        <f t="shared" si="337"/>
        <v>904</v>
      </c>
      <c r="B904" s="4"/>
      <c r="C904" s="4"/>
      <c r="D904" s="43"/>
      <c r="E904" s="44"/>
      <c r="F904" s="45"/>
      <c r="L904" s="21">
        <v>0</v>
      </c>
      <c r="M904" s="21">
        <v>0</v>
      </c>
      <c r="N904" s="21">
        <v>0</v>
      </c>
      <c r="O904" s="21">
        <v>0</v>
      </c>
      <c r="P904" s="21">
        <v>0</v>
      </c>
      <c r="Q904" s="21">
        <v>0</v>
      </c>
      <c r="R904" s="21">
        <v>0</v>
      </c>
      <c r="S904" s="21">
        <v>0</v>
      </c>
    </row>
    <row r="905" spans="1:19" x14ac:dyDescent="0.2">
      <c r="A905" s="13">
        <f t="shared" si="337"/>
        <v>905</v>
      </c>
      <c r="B905" s="4" t="s">
        <v>35</v>
      </c>
      <c r="C905" s="4" t="str">
        <f>(B504)</f>
        <v>TRANSMISSION EXPENSES</v>
      </c>
      <c r="D905" s="43" t="s">
        <v>5</v>
      </c>
      <c r="E905" s="44" t="s">
        <v>5</v>
      </c>
      <c r="F905" s="45"/>
      <c r="L905" s="21">
        <v>0</v>
      </c>
      <c r="M905" s="21">
        <v>0</v>
      </c>
      <c r="N905" s="21">
        <v>0</v>
      </c>
      <c r="O905" s="21">
        <v>0</v>
      </c>
      <c r="P905" s="21">
        <v>0</v>
      </c>
      <c r="Q905" s="21">
        <v>0</v>
      </c>
      <c r="R905" s="21">
        <v>0</v>
      </c>
      <c r="S905" s="21">
        <v>0</v>
      </c>
    </row>
    <row r="906" spans="1:19" x14ac:dyDescent="0.2">
      <c r="A906" s="13">
        <f t="shared" si="337"/>
        <v>906</v>
      </c>
      <c r="B906" s="4" t="str">
        <f t="shared" ref="B906:B912" si="340">(B507)</f>
        <v>560 / SUPERVISION &amp; ENGINEERING</v>
      </c>
      <c r="C906" s="25"/>
      <c r="D906" s="43" t="s">
        <v>508</v>
      </c>
      <c r="E906" s="44">
        <f>A144</f>
        <v>144</v>
      </c>
      <c r="F906" s="45"/>
      <c r="G906" s="21">
        <f t="shared" ref="G906:G912" si="341">IF($E$1149=1,($L906),IF($E$1149=2,($M906),IF($E$1149=3,($N906),IF($E$1149=4,($O906),IF($E$1149=5,($P906),IF($E$1149=6,($Q906),IF($E$1149=7,($R906),IF($E$1149=8,($S906),0))))))))</f>
        <v>2057418.73</v>
      </c>
      <c r="H906" s="48">
        <f t="shared" ref="H906:I906" si="342">IF($G$144&lt;&gt;0,($G906)*(H$144/$G$144),0)</f>
        <v>1975278.4148939832</v>
      </c>
      <c r="I906" s="48">
        <f t="shared" si="342"/>
        <v>82140.315106017239</v>
      </c>
      <c r="J906" s="20">
        <f t="shared" ref="J906:J920" si="343">IF($E$1149=1,($G906),IF($E$1149=2,($G906),IF($E$1149=3,0,IF($E$1149=4,($H906),IF($E$1149=5,($I906),0)))))</f>
        <v>0</v>
      </c>
      <c r="L906" s="21">
        <v>2057418.73</v>
      </c>
      <c r="M906" s="21">
        <v>2057418.73</v>
      </c>
      <c r="N906" s="21">
        <v>2057418.73</v>
      </c>
      <c r="O906" s="21">
        <v>2057418.73</v>
      </c>
      <c r="P906" s="21">
        <v>2057418.73</v>
      </c>
      <c r="Q906" s="21">
        <v>2057418.73</v>
      </c>
      <c r="R906" s="21">
        <v>2057418.73</v>
      </c>
      <c r="S906" s="21">
        <v>2057418.73</v>
      </c>
    </row>
    <row r="907" spans="1:19" x14ac:dyDescent="0.2">
      <c r="A907" s="13">
        <f t="shared" si="337"/>
        <v>907</v>
      </c>
      <c r="B907" s="4" t="str">
        <f t="shared" si="340"/>
        <v>561 / LOAD DISPATCHING</v>
      </c>
      <c r="C907" s="25"/>
      <c r="D907" s="43" t="s">
        <v>5</v>
      </c>
      <c r="E907" s="44" t="str">
        <f>(E$1006)</f>
        <v>D12</v>
      </c>
      <c r="F907" s="45"/>
      <c r="G907" s="21">
        <f t="shared" si="341"/>
        <v>3240216.18</v>
      </c>
      <c r="H907" s="48">
        <f>IF($G$1006&lt;&gt;0,($G907)*(H$1006/$G$1006),0)</f>
        <v>3111080.5512768608</v>
      </c>
      <c r="I907" s="48">
        <f>IF($G$1006&lt;&gt;0,($G907)*(I$1006/$G$1006),0)</f>
        <v>129135.62872313973</v>
      </c>
      <c r="J907" s="20">
        <f t="shared" si="343"/>
        <v>0</v>
      </c>
      <c r="L907" s="21">
        <v>3240216.18</v>
      </c>
      <c r="M907" s="21">
        <v>3240216.18</v>
      </c>
      <c r="N907" s="21">
        <v>3240216.18</v>
      </c>
      <c r="O907" s="21">
        <v>3240216.18</v>
      </c>
      <c r="P907" s="21">
        <v>3240216.18</v>
      </c>
      <c r="Q907" s="21">
        <v>3240216.18</v>
      </c>
      <c r="R907" s="21">
        <v>3240216.18</v>
      </c>
      <c r="S907" s="21">
        <v>3240216.18</v>
      </c>
    </row>
    <row r="908" spans="1:19" x14ac:dyDescent="0.2">
      <c r="A908" s="13">
        <f t="shared" si="337"/>
        <v>908</v>
      </c>
      <c r="B908" s="4" t="str">
        <f t="shared" si="340"/>
        <v>562 / STATION EXPENSES</v>
      </c>
      <c r="C908" s="25"/>
      <c r="D908" s="43" t="s">
        <v>508</v>
      </c>
      <c r="E908" s="44">
        <f>A121</f>
        <v>121</v>
      </c>
      <c r="F908" s="45"/>
      <c r="G908" s="21">
        <f t="shared" si="341"/>
        <v>2250988.65</v>
      </c>
      <c r="H908" s="48">
        <f>IF($G$121&lt;&gt;0,($G908)*(SUM(H$119:H$120)/$G$121),0)</f>
        <v>2161120.7416410707</v>
      </c>
      <c r="I908" s="48">
        <f>IF($G$121&lt;&gt;0,($G908)*(SUM(I$119:I$120)/$G$121),0)</f>
        <v>89867.908358929548</v>
      </c>
      <c r="J908" s="20">
        <f t="shared" si="343"/>
        <v>0</v>
      </c>
      <c r="L908" s="21">
        <v>2250988.65</v>
      </c>
      <c r="M908" s="21">
        <v>2250988.65</v>
      </c>
      <c r="N908" s="21">
        <v>2250988.65</v>
      </c>
      <c r="O908" s="21">
        <v>2250988.65</v>
      </c>
      <c r="P908" s="21">
        <v>2250988.65</v>
      </c>
      <c r="Q908" s="21">
        <v>2250988.65</v>
      </c>
      <c r="R908" s="21">
        <v>2250988.65</v>
      </c>
      <c r="S908" s="21">
        <v>2250988.65</v>
      </c>
    </row>
    <row r="909" spans="1:19" x14ac:dyDescent="0.2">
      <c r="A909" s="13">
        <f t="shared" si="337"/>
        <v>909</v>
      </c>
      <c r="B909" s="4" t="str">
        <f t="shared" si="340"/>
        <v>563 / OVERHEAD LINE EXPENSES</v>
      </c>
      <c r="C909" s="25"/>
      <c r="D909" s="43" t="s">
        <v>508</v>
      </c>
      <c r="E909" s="44" t="str">
        <f>A127&amp;"+"&amp;A132&amp;"+"&amp;A137</f>
        <v>127+132+137</v>
      </c>
      <c r="F909" s="45"/>
      <c r="G909" s="21">
        <f t="shared" si="341"/>
        <v>443997.22</v>
      </c>
      <c r="H909" s="48">
        <f>IF(SUM($G$127+$G$132+$G$137)&lt;&gt;0,($G909)*(SUM(H$125:H$126,H$130:H$131,H$135:H$136)/SUM($G$127+$G$132+$G$137)),0)</f>
        <v>426265.81662539457</v>
      </c>
      <c r="I909" s="48">
        <f>IF(SUM($G$127+$G$132+$G$137)&lt;&gt;0,($G909)*(SUM(I$125:I$126,I$130:I$131,I$135:I$136)/SUM($G$127+$G$132+$G$137)),0)</f>
        <v>17731.403374605408</v>
      </c>
      <c r="J909" s="20">
        <f t="shared" si="343"/>
        <v>0</v>
      </c>
      <c r="L909" s="21">
        <v>443997.22</v>
      </c>
      <c r="M909" s="21">
        <v>443997.22</v>
      </c>
      <c r="N909" s="21">
        <v>443997.22</v>
      </c>
      <c r="O909" s="21">
        <v>443997.22</v>
      </c>
      <c r="P909" s="21">
        <v>443997.22</v>
      </c>
      <c r="Q909" s="21">
        <v>443997.22</v>
      </c>
      <c r="R909" s="21">
        <v>443997.22</v>
      </c>
      <c r="S909" s="21">
        <v>443997.22</v>
      </c>
    </row>
    <row r="910" spans="1:19" x14ac:dyDescent="0.2">
      <c r="A910" s="13">
        <f t="shared" si="337"/>
        <v>910</v>
      </c>
      <c r="B910" s="4" t="str">
        <f t="shared" si="340"/>
        <v>565 / TRANSMISSION OF ELECTRICITY BY OTHERS</v>
      </c>
      <c r="C910" s="25"/>
      <c r="D910" s="43" t="s">
        <v>5</v>
      </c>
      <c r="E910" s="44" t="str">
        <f>(E$1010)</f>
        <v>E10</v>
      </c>
      <c r="F910" s="45"/>
      <c r="G910" s="21">
        <f t="shared" si="341"/>
        <v>0</v>
      </c>
      <c r="H910" s="48">
        <f>IF($G$1010&lt;&gt;0,($G910)*(H$1010/$G$1010),0)</f>
        <v>0</v>
      </c>
      <c r="I910" s="48">
        <f>IF($G$1010&lt;&gt;0,($G910)*(I$1010/$G$1010),0)</f>
        <v>0</v>
      </c>
      <c r="J910" s="20">
        <f t="shared" si="343"/>
        <v>0</v>
      </c>
      <c r="L910" s="21">
        <v>0</v>
      </c>
      <c r="M910" s="21">
        <v>0</v>
      </c>
      <c r="N910" s="21">
        <v>0</v>
      </c>
      <c r="O910" s="21">
        <v>0</v>
      </c>
      <c r="P910" s="21">
        <v>0</v>
      </c>
      <c r="Q910" s="21">
        <v>0</v>
      </c>
      <c r="R910" s="21">
        <v>0</v>
      </c>
      <c r="S910" s="21">
        <v>0</v>
      </c>
    </row>
    <row r="911" spans="1:19" x14ac:dyDescent="0.2">
      <c r="A911" s="13">
        <f t="shared" si="337"/>
        <v>911</v>
      </c>
      <c r="B911" s="4" t="str">
        <f t="shared" si="340"/>
        <v>566 / MISCELLANEOUS EXPENSES</v>
      </c>
      <c r="C911" s="25"/>
      <c r="D911" s="43" t="s">
        <v>508</v>
      </c>
      <c r="E911" s="44">
        <f>A527</f>
        <v>527</v>
      </c>
      <c r="F911" s="45"/>
      <c r="G911" s="21">
        <f t="shared" si="341"/>
        <v>0</v>
      </c>
      <c r="H911" s="48">
        <f>IF($G$527&lt;&gt;0,($G911)*(H$527/$G$527),0)</f>
        <v>0</v>
      </c>
      <c r="I911" s="48">
        <f>IF($G$527&lt;&gt;0,($G911)*(I$527/$G$527),0)</f>
        <v>0</v>
      </c>
      <c r="J911" s="20">
        <f t="shared" si="343"/>
        <v>0</v>
      </c>
      <c r="L911" s="21">
        <v>0</v>
      </c>
      <c r="M911" s="21">
        <v>0</v>
      </c>
      <c r="N911" s="21">
        <v>0</v>
      </c>
      <c r="O911" s="21">
        <v>0</v>
      </c>
      <c r="P911" s="21">
        <v>0</v>
      </c>
      <c r="Q911" s="21">
        <v>0</v>
      </c>
      <c r="R911" s="21">
        <v>0</v>
      </c>
      <c r="S911" s="21">
        <v>0</v>
      </c>
    </row>
    <row r="912" spans="1:19" x14ac:dyDescent="0.2">
      <c r="A912" s="13">
        <f t="shared" si="337"/>
        <v>912</v>
      </c>
      <c r="B912" s="4" t="str">
        <f t="shared" si="340"/>
        <v>567 / RENTS</v>
      </c>
      <c r="C912" s="25"/>
      <c r="D912" s="43" t="s">
        <v>508</v>
      </c>
      <c r="E912" s="44">
        <f>A144</f>
        <v>144</v>
      </c>
      <c r="F912" s="45"/>
      <c r="G912" s="21">
        <f t="shared" si="341"/>
        <v>0</v>
      </c>
      <c r="H912" s="48">
        <f t="shared" ref="H912:I914" si="344">IF($G$144&lt;&gt;0,($G912)*(H$144/$G$144),0)</f>
        <v>0</v>
      </c>
      <c r="I912" s="48">
        <f t="shared" si="344"/>
        <v>0</v>
      </c>
      <c r="J912" s="20">
        <f t="shared" si="343"/>
        <v>0</v>
      </c>
      <c r="L912" s="21">
        <v>0</v>
      </c>
      <c r="M912" s="21">
        <v>0</v>
      </c>
      <c r="N912" s="21">
        <v>0</v>
      </c>
      <c r="O912" s="21">
        <v>0</v>
      </c>
      <c r="P912" s="21">
        <v>0</v>
      </c>
      <c r="Q912" s="21">
        <v>0</v>
      </c>
      <c r="R912" s="21">
        <v>0</v>
      </c>
      <c r="S912" s="21">
        <v>0</v>
      </c>
    </row>
    <row r="913" spans="1:19" x14ac:dyDescent="0.2">
      <c r="A913" s="13">
        <f t="shared" si="337"/>
        <v>913</v>
      </c>
      <c r="B913" s="4" t="str">
        <f>(B515)</f>
        <v/>
      </c>
      <c r="C913" s="4" t="str">
        <f>(C515)</f>
        <v>TOTAL TRANSMISSION OPERATION</v>
      </c>
      <c r="D913" s="43" t="s">
        <v>5</v>
      </c>
      <c r="E913" s="44"/>
      <c r="F913" s="45"/>
      <c r="G913" s="46">
        <f>SUM(G906:G912)</f>
        <v>7992620.7800000003</v>
      </c>
      <c r="H913" s="46">
        <f t="shared" ref="H913:I913" si="345">SUM(H906:H912)</f>
        <v>7673745.5244373092</v>
      </c>
      <c r="I913" s="46">
        <f t="shared" si="345"/>
        <v>318875.25556269195</v>
      </c>
      <c r="J913" s="20">
        <f t="shared" si="343"/>
        <v>0</v>
      </c>
      <c r="L913" s="21">
        <v>0</v>
      </c>
      <c r="M913" s="21">
        <v>0</v>
      </c>
      <c r="N913" s="21">
        <v>0</v>
      </c>
      <c r="O913" s="21">
        <v>0</v>
      </c>
      <c r="P913" s="21">
        <v>0</v>
      </c>
      <c r="Q913" s="21">
        <v>0</v>
      </c>
      <c r="R913" s="21">
        <v>0</v>
      </c>
      <c r="S913" s="21">
        <v>0</v>
      </c>
    </row>
    <row r="914" spans="1:19" x14ac:dyDescent="0.2">
      <c r="A914" s="13">
        <f t="shared" si="337"/>
        <v>914</v>
      </c>
      <c r="B914" s="4" t="str">
        <f>(B518)</f>
        <v>568 / SUPERVISION &amp; ENGINEERING</v>
      </c>
      <c r="C914" s="25"/>
      <c r="D914" s="43" t="s">
        <v>508</v>
      </c>
      <c r="E914" s="44">
        <f>A144</f>
        <v>144</v>
      </c>
      <c r="F914" s="45"/>
      <c r="G914" s="21">
        <f>IF($E$1149=1,($L914),IF($E$1149=2,($M914),IF($E$1149=3,($N914),IF($E$1149=4,($O914),IF($E$1149=5,($P914),IF($E$1149=6,($Q914),IF($E$1149=7,($R914),IF($E$1149=8,($S914),0))))))))</f>
        <v>83814.960000000006</v>
      </c>
      <c r="H914" s="48">
        <f t="shared" si="344"/>
        <v>80468.734399634166</v>
      </c>
      <c r="I914" s="48">
        <f t="shared" si="344"/>
        <v>3346.2256003658676</v>
      </c>
      <c r="J914" s="20">
        <f t="shared" si="343"/>
        <v>0</v>
      </c>
      <c r="L914" s="21">
        <v>83814.960000000006</v>
      </c>
      <c r="M914" s="21">
        <v>83814.960000000006</v>
      </c>
      <c r="N914" s="21">
        <v>83814.960000000006</v>
      </c>
      <c r="O914" s="21">
        <v>83814.960000000006</v>
      </c>
      <c r="P914" s="21">
        <v>83814.960000000006</v>
      </c>
      <c r="Q914" s="21">
        <v>83814.960000000006</v>
      </c>
      <c r="R914" s="21">
        <v>83814.960000000006</v>
      </c>
      <c r="S914" s="21">
        <v>83814.960000000006</v>
      </c>
    </row>
    <row r="915" spans="1:19" x14ac:dyDescent="0.2">
      <c r="A915" s="13">
        <f t="shared" si="337"/>
        <v>915</v>
      </c>
      <c r="B915" s="4" t="str">
        <f>(B519)</f>
        <v>569 / STRUCTURES</v>
      </c>
      <c r="C915" s="25"/>
      <c r="D915" s="43" t="s">
        <v>508</v>
      </c>
      <c r="E915" s="44">
        <f>A116</f>
        <v>116</v>
      </c>
      <c r="F915" s="45"/>
      <c r="G915" s="21">
        <f>IF($E$1149=1,($L915),IF($E$1149=2,($M915),IF($E$1149=3,($N915),IF($E$1149=4,($O915),IF($E$1149=5,($P915),IF($E$1149=6,($Q915),IF($E$1149=7,($R915),IF($E$1149=8,($S915),0))))))))</f>
        <v>1177134.6299999999</v>
      </c>
      <c r="H915" s="48">
        <f>IF($G$116&lt;&gt;0,($G915)*(SUM(H$114:H$115)/$G$116),0)</f>
        <v>1130212.4045871131</v>
      </c>
      <c r="I915" s="48">
        <f>IF($G$116&lt;&gt;0,($G915)*(SUM(I$114:I$115)/$G$116),0)</f>
        <v>46922.225412887172</v>
      </c>
      <c r="J915" s="20">
        <f t="shared" si="343"/>
        <v>0</v>
      </c>
      <c r="L915" s="21">
        <v>1177134.6299999999</v>
      </c>
      <c r="M915" s="21">
        <v>1177134.6299999999</v>
      </c>
      <c r="N915" s="21">
        <v>1177134.6299999999</v>
      </c>
      <c r="O915" s="21">
        <v>1177134.6299999999</v>
      </c>
      <c r="P915" s="21">
        <v>1177134.6299999999</v>
      </c>
      <c r="Q915" s="21">
        <v>1177134.6299999999</v>
      </c>
      <c r="R915" s="21">
        <v>1177134.6299999999</v>
      </c>
      <c r="S915" s="21">
        <v>1177134.6299999999</v>
      </c>
    </row>
    <row r="916" spans="1:19" x14ac:dyDescent="0.2">
      <c r="A916" s="13">
        <f t="shared" si="337"/>
        <v>916</v>
      </c>
      <c r="B916" s="4" t="str">
        <f>(B520)</f>
        <v>570 / STATION EQUIPMENT</v>
      </c>
      <c r="C916" s="25"/>
      <c r="D916" s="43" t="s">
        <v>508</v>
      </c>
      <c r="E916" s="44">
        <f>A121</f>
        <v>121</v>
      </c>
      <c r="F916" s="45"/>
      <c r="G916" s="21">
        <f>IF($E$1149=1,($L916),IF($E$1149=2,($M916),IF($E$1149=3,($N916),IF($E$1149=4,($O916),IF($E$1149=5,($P916),IF($E$1149=6,($Q916),IF($E$1149=7,($R916),IF($E$1149=8,($S916),0))))))))</f>
        <v>1778270.75</v>
      </c>
      <c r="H916" s="48">
        <f>IF($G$121&lt;&gt;0,($G916)*(SUM(H$119:H$120)/$G$121),0)</f>
        <v>1707275.5129523303</v>
      </c>
      <c r="I916" s="48">
        <f>IF($G$121&lt;&gt;0,($G916)*(SUM(I$119:I$120)/$G$121),0)</f>
        <v>70995.237047670103</v>
      </c>
      <c r="J916" s="20">
        <f t="shared" si="343"/>
        <v>0</v>
      </c>
      <c r="L916" s="21">
        <v>1778270.75</v>
      </c>
      <c r="M916" s="21">
        <v>1778270.75</v>
      </c>
      <c r="N916" s="21">
        <v>1778270.75</v>
      </c>
      <c r="O916" s="21">
        <v>1778270.75</v>
      </c>
      <c r="P916" s="21">
        <v>1778270.75</v>
      </c>
      <c r="Q916" s="21">
        <v>1778270.75</v>
      </c>
      <c r="R916" s="21">
        <v>1778270.75</v>
      </c>
      <c r="S916" s="21">
        <v>1778270.75</v>
      </c>
    </row>
    <row r="917" spans="1:19" x14ac:dyDescent="0.2">
      <c r="A917" s="13">
        <f t="shared" si="337"/>
        <v>917</v>
      </c>
      <c r="B917" s="4" t="str">
        <f>(B521)</f>
        <v>571 / OVERHEAD LINES</v>
      </c>
      <c r="C917" s="25"/>
      <c r="D917" s="43" t="s">
        <v>508</v>
      </c>
      <c r="E917" s="44" t="str">
        <f>A127&amp;"+"&amp;A132&amp;"+"&amp;A137</f>
        <v>127+132+137</v>
      </c>
      <c r="F917" s="45"/>
      <c r="G917" s="21">
        <f>IF($E$1149=1,($L917),IF($E$1149=2,($M917),IF($E$1149=3,($N917),IF($E$1149=4,($O917),IF($E$1149=5,($P917),IF($E$1149=6,($Q917),IF($E$1149=7,($R917),IF($E$1149=8,($S917),0))))))))</f>
        <v>719631.98</v>
      </c>
      <c r="H917" s="48">
        <f>IF(SUM($G$127+$G$132+$G$137)&lt;&gt;0,($G917)*(SUM(H$125:H$126,H$130:H$131,H$135:H$136)/SUM($G$127+$G$132+$G$137)),0)</f>
        <v>690892.87005997391</v>
      </c>
      <c r="I917" s="48">
        <f>IF(SUM($G$127+$G$132+$G$137)&lt;&gt;0,($G917)*(SUM(I$125:I$126,I$130:I$131,I$135:I$136)/SUM($G$127+$G$132+$G$137)),0)</f>
        <v>28739.109940026141</v>
      </c>
      <c r="J917" s="20">
        <f t="shared" si="343"/>
        <v>0</v>
      </c>
      <c r="L917" s="21">
        <v>719631.98</v>
      </c>
      <c r="M917" s="21">
        <v>719631.98</v>
      </c>
      <c r="N917" s="21">
        <v>719631.98</v>
      </c>
      <c r="O917" s="21">
        <v>719631.98</v>
      </c>
      <c r="P917" s="21">
        <v>719631.98</v>
      </c>
      <c r="Q917" s="21">
        <v>719631.98</v>
      </c>
      <c r="R917" s="21">
        <v>719631.98</v>
      </c>
      <c r="S917" s="21">
        <v>719631.98</v>
      </c>
    </row>
    <row r="918" spans="1:19" x14ac:dyDescent="0.2">
      <c r="A918" s="13">
        <f t="shared" si="337"/>
        <v>918</v>
      </c>
      <c r="B918" s="4" t="str">
        <f>(B523)</f>
        <v>575 / OPER TRANS MKT ADMIN - EIM</v>
      </c>
      <c r="C918" s="25"/>
      <c r="D918" s="43" t="s">
        <v>508</v>
      </c>
      <c r="E918" s="44">
        <f>A144</f>
        <v>144</v>
      </c>
      <c r="F918" s="45"/>
      <c r="G918" s="21">
        <f>IF($E$1149=1,($L918),IF($E$1149=2,($M918),IF($E$1149=3,($N918),IF($E$1149=4,($O918),IF($E$1149=5,($P918),IF($E$1149=6,($Q918),IF($E$1149=7,($R918),IF($E$1149=8,($S918),0))))))))</f>
        <v>2207</v>
      </c>
      <c r="H918" s="48">
        <f t="shared" ref="H918:I918" si="346">IF($G$144&lt;&gt;0,($G918)*(H$144/$G$144),0)</f>
        <v>2118.8878073794053</v>
      </c>
      <c r="I918" s="48">
        <f t="shared" si="346"/>
        <v>88.112192620595053</v>
      </c>
      <c r="J918" s="20">
        <f t="shared" si="343"/>
        <v>0</v>
      </c>
      <c r="L918" s="21">
        <v>2207</v>
      </c>
      <c r="M918" s="21">
        <v>2207</v>
      </c>
      <c r="N918" s="21">
        <v>2207</v>
      </c>
      <c r="O918" s="21">
        <v>2207</v>
      </c>
      <c r="P918" s="21">
        <v>2207</v>
      </c>
      <c r="Q918" s="21">
        <v>2207</v>
      </c>
      <c r="R918" s="21">
        <v>2207</v>
      </c>
      <c r="S918" s="21">
        <v>2207</v>
      </c>
    </row>
    <row r="919" spans="1:19" x14ac:dyDescent="0.2">
      <c r="A919" s="13">
        <f t="shared" si="337"/>
        <v>919</v>
      </c>
      <c r="B919" s="4" t="str">
        <f>(B525)</f>
        <v/>
      </c>
      <c r="C919" s="4" t="str">
        <f>(C525)</f>
        <v>TOTAL TRANSMISSION MAINTENANCE</v>
      </c>
      <c r="D919" s="43" t="s">
        <v>5</v>
      </c>
      <c r="E919" s="44" t="s">
        <v>5</v>
      </c>
      <c r="F919" s="45"/>
      <c r="G919" s="46">
        <f>SUM(G914:G916,G917:G918)</f>
        <v>3761059.32</v>
      </c>
      <c r="H919" s="46">
        <f t="shared" ref="H919:I919" si="347">SUM(H914:H916,H917:H918)</f>
        <v>3610968.4098064308</v>
      </c>
      <c r="I919" s="46">
        <f t="shared" si="347"/>
        <v>150090.91019356987</v>
      </c>
      <c r="J919" s="20">
        <f t="shared" si="343"/>
        <v>0</v>
      </c>
      <c r="L919" s="21">
        <v>0</v>
      </c>
      <c r="M919" s="21">
        <v>0</v>
      </c>
      <c r="N919" s="21">
        <v>0</v>
      </c>
      <c r="O919" s="21">
        <v>0</v>
      </c>
      <c r="P919" s="21">
        <v>0</v>
      </c>
      <c r="Q919" s="21">
        <v>0</v>
      </c>
      <c r="R919" s="21">
        <v>0</v>
      </c>
      <c r="S919" s="21">
        <v>0</v>
      </c>
    </row>
    <row r="920" spans="1:19" x14ac:dyDescent="0.2">
      <c r="A920" s="13">
        <f t="shared" si="337"/>
        <v>920</v>
      </c>
      <c r="B920" s="4" t="str">
        <f>(B527)</f>
        <v/>
      </c>
      <c r="C920" s="4" t="str">
        <f>(C527)</f>
        <v>TOTAL TRANSMISSION EXPENSES</v>
      </c>
      <c r="D920" s="43" t="s">
        <v>5</v>
      </c>
      <c r="E920" s="44" t="s">
        <v>5</v>
      </c>
      <c r="F920" s="45"/>
      <c r="G920" s="46">
        <f>SUM(G913+G919)</f>
        <v>11753680.1</v>
      </c>
      <c r="H920" s="46">
        <f t="shared" ref="H920:I920" si="348">SUM(H913+H919)</f>
        <v>11284713.934243741</v>
      </c>
      <c r="I920" s="46">
        <f t="shared" si="348"/>
        <v>468966.16575626179</v>
      </c>
      <c r="J920" s="20">
        <f t="shared" si="343"/>
        <v>0</v>
      </c>
      <c r="L920" s="21">
        <v>0</v>
      </c>
      <c r="M920" s="21">
        <v>0</v>
      </c>
      <c r="N920" s="21">
        <v>0</v>
      </c>
      <c r="O920" s="21">
        <v>0</v>
      </c>
      <c r="P920" s="21">
        <v>0</v>
      </c>
      <c r="Q920" s="21">
        <v>0</v>
      </c>
      <c r="R920" s="21">
        <v>0</v>
      </c>
      <c r="S920" s="21">
        <v>0</v>
      </c>
    </row>
    <row r="921" spans="1:19" x14ac:dyDescent="0.2">
      <c r="A921" s="13">
        <f t="shared" si="337"/>
        <v>921</v>
      </c>
      <c r="B921" s="4" t="s">
        <v>35</v>
      </c>
      <c r="C921" s="4" t="s">
        <v>39</v>
      </c>
      <c r="D921" s="43" t="s">
        <v>5</v>
      </c>
      <c r="E921" s="44" t="s">
        <v>5</v>
      </c>
      <c r="F921" s="45"/>
      <c r="L921" s="21">
        <v>0</v>
      </c>
      <c r="M921" s="21">
        <v>0</v>
      </c>
      <c r="N921" s="21">
        <v>0</v>
      </c>
      <c r="O921" s="21">
        <v>0</v>
      </c>
      <c r="P921" s="21">
        <v>0</v>
      </c>
      <c r="Q921" s="21">
        <v>0</v>
      </c>
      <c r="R921" s="21">
        <v>0</v>
      </c>
      <c r="S921" s="21">
        <v>0</v>
      </c>
    </row>
    <row r="922" spans="1:19" x14ac:dyDescent="0.2">
      <c r="A922" s="13">
        <f t="shared" si="337"/>
        <v>922</v>
      </c>
      <c r="B922" s="4" t="s">
        <v>35</v>
      </c>
      <c r="C922" s="4" t="s">
        <v>485</v>
      </c>
      <c r="D922" s="43" t="s">
        <v>5</v>
      </c>
      <c r="E922" s="44" t="s">
        <v>5</v>
      </c>
      <c r="F922" s="45"/>
      <c r="L922" s="21">
        <v>0</v>
      </c>
      <c r="M922" s="21">
        <v>0</v>
      </c>
      <c r="N922" s="21">
        <v>0</v>
      </c>
      <c r="O922" s="21">
        <v>0</v>
      </c>
      <c r="P922" s="21">
        <v>0</v>
      </c>
      <c r="Q922" s="21">
        <v>0</v>
      </c>
      <c r="R922" s="21">
        <v>0</v>
      </c>
      <c r="S922" s="21">
        <v>0</v>
      </c>
    </row>
    <row r="923" spans="1:19" x14ac:dyDescent="0.2">
      <c r="A923" s="13">
        <f t="shared" si="337"/>
        <v>923</v>
      </c>
      <c r="B923" s="4" t="str">
        <f t="shared" ref="B923:B933" si="349">(B533)</f>
        <v>580 / SUPERVISION &amp; ENGINEERING</v>
      </c>
      <c r="C923" s="25"/>
      <c r="D923" s="43" t="s">
        <v>508</v>
      </c>
      <c r="E923" s="44">
        <f>A162</f>
        <v>162</v>
      </c>
      <c r="F923" s="45"/>
      <c r="G923" s="21">
        <f t="shared" ref="G923:G932" si="350">IF($E$1149=1,($L923),IF($E$1149=2,($M923),IF($E$1149=3,($N923),IF($E$1149=4,($O923),IF($E$1149=5,($P923),IF($E$1149=6,($Q923),IF($E$1149=7,($R923),IF($E$1149=8,($S923),0))))))))</f>
        <v>2953336.3</v>
      </c>
      <c r="H923" s="48">
        <f t="shared" ref="H923:I923" si="351">IF($G$162&lt;&gt;0,($G923)*(H$162/$G$162),0)</f>
        <v>2828156.2837647586</v>
      </c>
      <c r="I923" s="48">
        <f t="shared" si="351"/>
        <v>125180.0162352419</v>
      </c>
      <c r="J923" s="20">
        <f t="shared" ref="J923:J933" si="352">IF($E$1149=1,($G923),IF($E$1149=2,($G923),IF($E$1149=3,0,IF($E$1149=4,($H923),IF($E$1149=5,($I923),0)))))</f>
        <v>0</v>
      </c>
      <c r="L923" s="21">
        <v>2953336.3</v>
      </c>
      <c r="M923" s="21">
        <v>2953336.3</v>
      </c>
      <c r="N923" s="21">
        <v>2953336.3</v>
      </c>
      <c r="O923" s="21">
        <v>2953336.3</v>
      </c>
      <c r="P923" s="21">
        <v>2953336.3</v>
      </c>
      <c r="Q923" s="21">
        <v>2953336.3</v>
      </c>
      <c r="R923" s="21">
        <v>2953336.3</v>
      </c>
      <c r="S923" s="21">
        <v>2953336.3</v>
      </c>
    </row>
    <row r="924" spans="1:19" x14ac:dyDescent="0.2">
      <c r="A924" s="13">
        <f t="shared" si="337"/>
        <v>924</v>
      </c>
      <c r="B924" s="4" t="str">
        <f t="shared" si="349"/>
        <v>581 / LOAD DISPATCHING</v>
      </c>
      <c r="C924" s="25"/>
      <c r="D924" s="43" t="s">
        <v>5</v>
      </c>
      <c r="E924" s="44" t="str">
        <f>(E$1007)</f>
        <v>D60</v>
      </c>
      <c r="F924" s="45"/>
      <c r="G924" s="21">
        <f t="shared" si="350"/>
        <v>4075374.96</v>
      </c>
      <c r="H924" s="48">
        <f>IF($G$1007&lt;&gt;0,($G924)*(H$1007/$G$1007),0)</f>
        <v>3926030.7251145863</v>
      </c>
      <c r="I924" s="48">
        <f>IF($G$1007&lt;&gt;0,($G924)*(I$1007/$G$1007),0)</f>
        <v>149344.23488541375</v>
      </c>
      <c r="J924" s="20">
        <f t="shared" si="352"/>
        <v>0</v>
      </c>
      <c r="L924" s="21">
        <v>4075374.96</v>
      </c>
      <c r="M924" s="21">
        <v>4075374.96</v>
      </c>
      <c r="N924" s="21">
        <v>4075374.96</v>
      </c>
      <c r="O924" s="21">
        <v>4075374.96</v>
      </c>
      <c r="P924" s="21">
        <v>4075374.96</v>
      </c>
      <c r="Q924" s="21">
        <v>4075374.96</v>
      </c>
      <c r="R924" s="21">
        <v>4075374.96</v>
      </c>
      <c r="S924" s="21">
        <v>4075374.96</v>
      </c>
    </row>
    <row r="925" spans="1:19" x14ac:dyDescent="0.2">
      <c r="A925" s="13">
        <f t="shared" si="337"/>
        <v>925</v>
      </c>
      <c r="B925" s="4" t="str">
        <f t="shared" si="349"/>
        <v>582 / STATION EXPENSES</v>
      </c>
      <c r="C925" s="25"/>
      <c r="D925" s="43" t="s">
        <v>508</v>
      </c>
      <c r="E925" s="44">
        <f>A151</f>
        <v>151</v>
      </c>
      <c r="F925" s="45"/>
      <c r="G925" s="21">
        <f t="shared" si="350"/>
        <v>910818.99</v>
      </c>
      <c r="H925" s="48">
        <f>IF($G$151&lt;&gt;0,($G925)*(H151/$G$151),0)</f>
        <v>871611.38804748014</v>
      </c>
      <c r="I925" s="48">
        <f>IF($G$151&lt;&gt;0,($G925)*(I151/$G$151),0)</f>
        <v>39207.601952519952</v>
      </c>
      <c r="J925" s="20">
        <f t="shared" si="352"/>
        <v>0</v>
      </c>
      <c r="L925" s="21">
        <v>910818.99</v>
      </c>
      <c r="M925" s="21">
        <v>910818.99</v>
      </c>
      <c r="N925" s="21">
        <v>910818.99</v>
      </c>
      <c r="O925" s="21">
        <v>910818.99</v>
      </c>
      <c r="P925" s="21">
        <v>910818.99</v>
      </c>
      <c r="Q925" s="21">
        <v>910818.99</v>
      </c>
      <c r="R925" s="21">
        <v>910818.99</v>
      </c>
      <c r="S925" s="21">
        <v>910818.99</v>
      </c>
    </row>
    <row r="926" spans="1:19" x14ac:dyDescent="0.2">
      <c r="A926" s="13">
        <f t="shared" si="337"/>
        <v>926</v>
      </c>
      <c r="B926" s="4" t="str">
        <f t="shared" si="349"/>
        <v>583 / OVERHEAD LINE EXPENSES</v>
      </c>
      <c r="C926" s="25"/>
      <c r="D926" s="43" t="s">
        <v>508</v>
      </c>
      <c r="E926" s="44" t="str">
        <f>A152&amp;"+"&amp;A153</f>
        <v>152+153</v>
      </c>
      <c r="F926" s="45"/>
      <c r="G926" s="21">
        <f t="shared" si="350"/>
        <v>3394542.72</v>
      </c>
      <c r="H926" s="48">
        <f t="shared" ref="H926:I926" si="353">IF(SUM($G$152+$G$153)&lt;&gt;0,($G926)*(SUM(H$152+H$153)/SUM($G$152+$G$153)),0)</f>
        <v>3143580.7253541215</v>
      </c>
      <c r="I926" s="48">
        <f t="shared" si="353"/>
        <v>250961.99464587873</v>
      </c>
      <c r="J926" s="20">
        <f t="shared" si="352"/>
        <v>0</v>
      </c>
      <c r="L926" s="21">
        <v>3394542.72</v>
      </c>
      <c r="M926" s="21">
        <v>3394542.72</v>
      </c>
      <c r="N926" s="21">
        <v>3394542.72</v>
      </c>
      <c r="O926" s="21">
        <v>3394542.72</v>
      </c>
      <c r="P926" s="21">
        <v>3394542.72</v>
      </c>
      <c r="Q926" s="21">
        <v>3394542.72</v>
      </c>
      <c r="R926" s="21">
        <v>3394542.72</v>
      </c>
      <c r="S926" s="21">
        <v>3394542.72</v>
      </c>
    </row>
    <row r="927" spans="1:19" x14ac:dyDescent="0.2">
      <c r="A927" s="13">
        <f t="shared" si="337"/>
        <v>927</v>
      </c>
      <c r="B927" s="4" t="str">
        <f t="shared" si="349"/>
        <v>584 / UNDERGROUND LINE EXPENSES</v>
      </c>
      <c r="C927" s="25"/>
      <c r="D927" s="43" t="s">
        <v>508</v>
      </c>
      <c r="E927" s="44" t="str">
        <f>A154&amp;"+"&amp;A155</f>
        <v>154+155</v>
      </c>
      <c r="F927" s="45"/>
      <c r="G927" s="21">
        <f t="shared" si="350"/>
        <v>1175783.24</v>
      </c>
      <c r="H927" s="48">
        <f t="shared" ref="H927:I927" si="354">IF(SUM($G$154+$G$155)&lt;&gt;0,($G927)*(SUM(H$154+H$155)/SUM($G$154+$G$155)),0)</f>
        <v>1158058.4340480254</v>
      </c>
      <c r="I927" s="48">
        <f t="shared" si="354"/>
        <v>17724.805951974427</v>
      </c>
      <c r="J927" s="20">
        <f t="shared" si="352"/>
        <v>0</v>
      </c>
      <c r="L927" s="21">
        <v>1175783.24</v>
      </c>
      <c r="M927" s="21">
        <v>1175783.24</v>
      </c>
      <c r="N927" s="21">
        <v>1175783.24</v>
      </c>
      <c r="O927" s="21">
        <v>1175783.24</v>
      </c>
      <c r="P927" s="21">
        <v>1175783.24</v>
      </c>
      <c r="Q927" s="21">
        <v>1175783.24</v>
      </c>
      <c r="R927" s="21">
        <v>1175783.24</v>
      </c>
      <c r="S927" s="21">
        <v>1175783.24</v>
      </c>
    </row>
    <row r="928" spans="1:19" x14ac:dyDescent="0.2">
      <c r="A928" s="13">
        <f t="shared" si="337"/>
        <v>928</v>
      </c>
      <c r="B928" s="4" t="str">
        <f t="shared" si="349"/>
        <v>585 / STREET LIGHTING &amp; SIGNAL SYSTEMS</v>
      </c>
      <c r="C928" s="25"/>
      <c r="D928" s="43" t="s">
        <v>508</v>
      </c>
      <c r="E928" s="44">
        <f>A160</f>
        <v>160</v>
      </c>
      <c r="F928" s="45"/>
      <c r="G928" s="21">
        <f t="shared" si="350"/>
        <v>338.31</v>
      </c>
      <c r="H928" s="48">
        <f t="shared" ref="H928:I928" si="355">IF($G$160&lt;&gt;0,($G928)*(H$160/$G$160),0)</f>
        <v>323.55242284412361</v>
      </c>
      <c r="I928" s="48">
        <f t="shared" si="355"/>
        <v>14.757577155876433</v>
      </c>
      <c r="J928" s="20">
        <f t="shared" si="352"/>
        <v>0</v>
      </c>
      <c r="L928" s="21">
        <v>338.31</v>
      </c>
      <c r="M928" s="21">
        <v>338.31</v>
      </c>
      <c r="N928" s="21">
        <v>338.31</v>
      </c>
      <c r="O928" s="21">
        <v>338.31</v>
      </c>
      <c r="P928" s="21">
        <v>338.31</v>
      </c>
      <c r="Q928" s="21">
        <v>338.31</v>
      </c>
      <c r="R928" s="21">
        <v>338.31</v>
      </c>
      <c r="S928" s="21">
        <v>338.31</v>
      </c>
    </row>
    <row r="929" spans="1:19" x14ac:dyDescent="0.2">
      <c r="A929" s="13">
        <f t="shared" si="337"/>
        <v>929</v>
      </c>
      <c r="B929" s="4" t="str">
        <f t="shared" si="349"/>
        <v>586 / METER EXPENSES</v>
      </c>
      <c r="C929" s="25"/>
      <c r="D929" s="43" t="s">
        <v>508</v>
      </c>
      <c r="E929" s="44">
        <f>A158</f>
        <v>158</v>
      </c>
      <c r="F929" s="45"/>
      <c r="G929" s="21">
        <f t="shared" si="350"/>
        <v>3678311.66</v>
      </c>
      <c r="H929" s="48">
        <f t="shared" ref="H929:I929" si="356">IF($G$158&lt;&gt;0,($G929)*(H$158/$G$158),0)</f>
        <v>3555723.0217692773</v>
      </c>
      <c r="I929" s="48">
        <f t="shared" si="356"/>
        <v>122588.63823072347</v>
      </c>
      <c r="J929" s="20">
        <f t="shared" si="352"/>
        <v>0</v>
      </c>
      <c r="L929" s="21">
        <v>3678311.66</v>
      </c>
      <c r="M929" s="21">
        <v>3678311.66</v>
      </c>
      <c r="N929" s="21">
        <v>3678311.66</v>
      </c>
      <c r="O929" s="21">
        <v>3678311.66</v>
      </c>
      <c r="P929" s="21">
        <v>3678311.66</v>
      </c>
      <c r="Q929" s="21">
        <v>3678311.66</v>
      </c>
      <c r="R929" s="21">
        <v>3678311.66</v>
      </c>
      <c r="S929" s="21">
        <v>3678311.66</v>
      </c>
    </row>
    <row r="930" spans="1:19" x14ac:dyDescent="0.2">
      <c r="A930" s="13">
        <f t="shared" si="337"/>
        <v>930</v>
      </c>
      <c r="B930" s="4" t="str">
        <f t="shared" si="349"/>
        <v>587 / CUSTOMER INSTALLATIONS EXPENSE</v>
      </c>
      <c r="C930" s="25"/>
      <c r="D930" s="43" t="s">
        <v>508</v>
      </c>
      <c r="E930" s="44">
        <f>A159</f>
        <v>159</v>
      </c>
      <c r="F930" s="45"/>
      <c r="G930" s="21">
        <f t="shared" si="350"/>
        <v>706818.94</v>
      </c>
      <c r="H930" s="48">
        <f t="shared" ref="H930:I930" si="357">IF($G$159&lt;&gt;0,($G930)*(H$159/$G$159),0)</f>
        <v>664330.64265010925</v>
      </c>
      <c r="I930" s="48">
        <f t="shared" si="357"/>
        <v>42488.29734989057</v>
      </c>
      <c r="J930" s="20">
        <f t="shared" si="352"/>
        <v>0</v>
      </c>
      <c r="L930" s="21">
        <v>706818.94</v>
      </c>
      <c r="M930" s="21">
        <v>706818.94</v>
      </c>
      <c r="N930" s="21">
        <v>706818.94</v>
      </c>
      <c r="O930" s="21">
        <v>706818.94</v>
      </c>
      <c r="P930" s="21">
        <v>706818.94</v>
      </c>
      <c r="Q930" s="21">
        <v>706818.94</v>
      </c>
      <c r="R930" s="21">
        <v>706818.94</v>
      </c>
      <c r="S930" s="21">
        <v>706818.94</v>
      </c>
    </row>
    <row r="931" spans="1:19" x14ac:dyDescent="0.2">
      <c r="A931" s="13">
        <f t="shared" si="337"/>
        <v>931</v>
      </c>
      <c r="B931" s="4" t="str">
        <f t="shared" si="349"/>
        <v>588 / MISCELLANEOUS EXPENSES</v>
      </c>
      <c r="C931" s="25"/>
      <c r="D931" s="43" t="s">
        <v>508</v>
      </c>
      <c r="E931" s="44">
        <f>A557</f>
        <v>557</v>
      </c>
      <c r="F931" s="45"/>
      <c r="G931" s="21">
        <f t="shared" si="350"/>
        <v>2608715.13</v>
      </c>
      <c r="H931" s="48">
        <f>IF($G$557&lt;&gt;0,($G931)*(H$557/$G$557),0)</f>
        <v>2473598.8399116141</v>
      </c>
      <c r="I931" s="48">
        <f>IF($G$557&lt;&gt;0,($G931)*(I$557/$G$557),0)</f>
        <v>135116.2900883861</v>
      </c>
      <c r="J931" s="20">
        <f t="shared" si="352"/>
        <v>0</v>
      </c>
      <c r="L931" s="21">
        <v>2608715.13</v>
      </c>
      <c r="M931" s="21">
        <v>2608715.13</v>
      </c>
      <c r="N931" s="21">
        <v>2608715.13</v>
      </c>
      <c r="O931" s="21">
        <v>2608715.13</v>
      </c>
      <c r="P931" s="21">
        <v>2608715.13</v>
      </c>
      <c r="Q931" s="21">
        <v>2608715.13</v>
      </c>
      <c r="R931" s="21">
        <v>2608715.13</v>
      </c>
      <c r="S931" s="21">
        <v>2608715.13</v>
      </c>
    </row>
    <row r="932" spans="1:19" x14ac:dyDescent="0.2">
      <c r="A932" s="13">
        <f t="shared" si="337"/>
        <v>932</v>
      </c>
      <c r="B932" s="4" t="str">
        <f t="shared" si="349"/>
        <v>589 / RENTS</v>
      </c>
      <c r="C932" s="25"/>
      <c r="D932" s="43" t="s">
        <v>508</v>
      </c>
      <c r="E932" s="44">
        <f>A162</f>
        <v>162</v>
      </c>
      <c r="F932" s="45"/>
      <c r="G932" s="21">
        <f t="shared" si="350"/>
        <v>0</v>
      </c>
      <c r="H932" s="48">
        <f t="shared" ref="H932:I932" si="358">IF($G$162&lt;&gt;0,($G932)*(H$162/$G$162),0)</f>
        <v>0</v>
      </c>
      <c r="I932" s="48">
        <f t="shared" si="358"/>
        <v>0</v>
      </c>
      <c r="J932" s="20">
        <f t="shared" si="352"/>
        <v>0</v>
      </c>
      <c r="L932" s="21">
        <v>0</v>
      </c>
      <c r="M932" s="21">
        <v>0</v>
      </c>
      <c r="N932" s="21">
        <v>0</v>
      </c>
      <c r="O932" s="21">
        <v>0</v>
      </c>
      <c r="P932" s="21">
        <v>0</v>
      </c>
      <c r="Q932" s="21">
        <v>0</v>
      </c>
      <c r="R932" s="21">
        <v>0</v>
      </c>
      <c r="S932" s="21">
        <v>0</v>
      </c>
    </row>
    <row r="933" spans="1:19" x14ac:dyDescent="0.2">
      <c r="A933" s="13">
        <f t="shared" si="337"/>
        <v>933</v>
      </c>
      <c r="B933" s="4" t="str">
        <f t="shared" si="349"/>
        <v/>
      </c>
      <c r="C933" s="4" t="str">
        <f>(C543)</f>
        <v>TOTAL DISTRIBUTION OPERATION</v>
      </c>
      <c r="D933" s="43" t="s">
        <v>5</v>
      </c>
      <c r="E933" s="44" t="s">
        <v>5</v>
      </c>
      <c r="F933" s="45"/>
      <c r="G933" s="46">
        <f>SUM(G923:G932)</f>
        <v>19504040.25</v>
      </c>
      <c r="H933" s="46">
        <f t="shared" ref="H933:I933" si="359">SUM(H923:H932)</f>
        <v>18621413.613082815</v>
      </c>
      <c r="I933" s="46">
        <f t="shared" si="359"/>
        <v>882626.63691718481</v>
      </c>
      <c r="J933" s="20">
        <f t="shared" si="352"/>
        <v>0</v>
      </c>
      <c r="L933" s="21">
        <v>0</v>
      </c>
      <c r="M933" s="21">
        <v>0</v>
      </c>
      <c r="N933" s="21">
        <v>0</v>
      </c>
      <c r="O933" s="21">
        <v>0</v>
      </c>
      <c r="P933" s="21">
        <v>0</v>
      </c>
      <c r="Q933" s="21">
        <v>0</v>
      </c>
      <c r="R933" s="21">
        <v>0</v>
      </c>
      <c r="S933" s="21">
        <v>0</v>
      </c>
    </row>
    <row r="934" spans="1:19" x14ac:dyDescent="0.2">
      <c r="A934" s="13">
        <f t="shared" si="337"/>
        <v>934</v>
      </c>
      <c r="B934" s="38" t="str">
        <f>B865</f>
        <v>* * * TABLE 13 - DEVELOPMENT OF LABOR RELATED ALLOCATOR * * *</v>
      </c>
      <c r="C934" s="4"/>
      <c r="D934" s="43"/>
      <c r="E934" s="44"/>
      <c r="F934" s="45"/>
      <c r="L934" s="21">
        <v>0</v>
      </c>
      <c r="M934" s="21">
        <v>0</v>
      </c>
      <c r="N934" s="21">
        <v>0</v>
      </c>
      <c r="O934" s="21">
        <v>0</v>
      </c>
      <c r="P934" s="21">
        <v>0</v>
      </c>
      <c r="Q934" s="21">
        <v>0</v>
      </c>
      <c r="R934" s="21">
        <v>0</v>
      </c>
      <c r="S934" s="21">
        <v>0</v>
      </c>
    </row>
    <row r="935" spans="1:19" x14ac:dyDescent="0.2">
      <c r="A935" s="13">
        <f t="shared" si="337"/>
        <v>935</v>
      </c>
      <c r="B935" s="4"/>
      <c r="C935" s="4"/>
      <c r="D935" s="43"/>
      <c r="E935" s="44"/>
      <c r="F935" s="45"/>
      <c r="L935" s="21">
        <v>0</v>
      </c>
      <c r="M935" s="21">
        <v>0</v>
      </c>
      <c r="N935" s="21">
        <v>0</v>
      </c>
      <c r="O935" s="21">
        <v>0</v>
      </c>
      <c r="P935" s="21">
        <v>0</v>
      </c>
      <c r="Q935" s="21">
        <v>0</v>
      </c>
      <c r="R935" s="21">
        <v>0</v>
      </c>
      <c r="S935" s="21">
        <v>0</v>
      </c>
    </row>
    <row r="936" spans="1:19" x14ac:dyDescent="0.2">
      <c r="A936" s="13">
        <f t="shared" si="337"/>
        <v>936</v>
      </c>
      <c r="B936" s="4"/>
      <c r="C936" s="4"/>
      <c r="D936" s="43"/>
      <c r="E936" s="44"/>
      <c r="F936" s="45"/>
      <c r="L936" s="21">
        <v>0</v>
      </c>
      <c r="M936" s="21">
        <v>0</v>
      </c>
      <c r="N936" s="21">
        <v>0</v>
      </c>
      <c r="O936" s="21">
        <v>0</v>
      </c>
      <c r="P936" s="21">
        <v>0</v>
      </c>
      <c r="Q936" s="21">
        <v>0</v>
      </c>
      <c r="R936" s="21">
        <v>0</v>
      </c>
      <c r="S936" s="21">
        <v>0</v>
      </c>
    </row>
    <row r="937" spans="1:19" x14ac:dyDescent="0.2">
      <c r="A937" s="13">
        <f t="shared" si="337"/>
        <v>937</v>
      </c>
      <c r="B937" s="4" t="str">
        <f t="shared" ref="B937:B946" si="360">(B546)</f>
        <v>590 / SUPERVISION &amp; ENGINEERING</v>
      </c>
      <c r="C937" s="25"/>
      <c r="D937" s="43" t="s">
        <v>508</v>
      </c>
      <c r="E937" s="44">
        <f>A162</f>
        <v>162</v>
      </c>
      <c r="F937" s="45"/>
      <c r="G937" s="21">
        <f t="shared" ref="G937:G945" si="361">IF($E$1149=1,($L937),IF($E$1149=2,($M937),IF($E$1149=3,($N937),IF($E$1149=4,($O937),IF($E$1149=5,($P937),IF($E$1149=6,($Q937),IF($E$1149=7,($R937),IF($E$1149=8,($S937),0))))))))</f>
        <v>9879.1200000000008</v>
      </c>
      <c r="H937" s="48">
        <f t="shared" ref="H937:I937" si="362">IF($G$162&lt;&gt;0,($G937)*(H$162/$G$162),0)</f>
        <v>9460.383941397431</v>
      </c>
      <c r="I937" s="48">
        <f t="shared" si="362"/>
        <v>418.73605860257197</v>
      </c>
      <c r="J937" s="20">
        <f t="shared" ref="J937:J947" si="363">IF($E$1149=1,($G937),IF($E$1149=2,($G937),IF($E$1149=3,0,IF($E$1149=4,($H937),IF($E$1149=5,($I937),0)))))</f>
        <v>0</v>
      </c>
      <c r="L937" s="21">
        <v>9879.1200000000008</v>
      </c>
      <c r="M937" s="21">
        <v>9879.1200000000008</v>
      </c>
      <c r="N937" s="21">
        <v>9879.1200000000008</v>
      </c>
      <c r="O937" s="21">
        <v>9879.1200000000008</v>
      </c>
      <c r="P937" s="21">
        <v>9879.1200000000008</v>
      </c>
      <c r="Q937" s="21">
        <v>9879.1200000000008</v>
      </c>
      <c r="R937" s="21">
        <v>9879.1200000000008</v>
      </c>
      <c r="S937" s="21">
        <v>9879.1200000000008</v>
      </c>
    </row>
    <row r="938" spans="1:19" x14ac:dyDescent="0.2">
      <c r="A938" s="13">
        <f t="shared" si="337"/>
        <v>938</v>
      </c>
      <c r="B938" s="4" t="str">
        <f t="shared" si="360"/>
        <v>591 / STRUCTURES</v>
      </c>
      <c r="C938" s="25"/>
      <c r="D938" s="43" t="s">
        <v>508</v>
      </c>
      <c r="E938" s="44">
        <f>A150</f>
        <v>150</v>
      </c>
      <c r="F938" s="45"/>
      <c r="G938" s="21">
        <f t="shared" si="361"/>
        <v>0</v>
      </c>
      <c r="H938" s="48">
        <f>IF($G$150&lt;&gt;0,($G938)*(H150/$G$150),0)</f>
        <v>0</v>
      </c>
      <c r="I938" s="48">
        <f>IF($G$150&lt;&gt;0,($G938)*(I150/$G$150),0)</f>
        <v>0</v>
      </c>
      <c r="J938" s="20">
        <f t="shared" si="363"/>
        <v>0</v>
      </c>
      <c r="L938" s="21">
        <v>0</v>
      </c>
      <c r="M938" s="21">
        <v>0</v>
      </c>
      <c r="N938" s="21">
        <v>0</v>
      </c>
      <c r="O938" s="21">
        <v>0</v>
      </c>
      <c r="P938" s="21">
        <v>0</v>
      </c>
      <c r="Q938" s="21">
        <v>0</v>
      </c>
      <c r="R938" s="21">
        <v>0</v>
      </c>
      <c r="S938" s="21">
        <v>0</v>
      </c>
    </row>
    <row r="939" spans="1:19" x14ac:dyDescent="0.2">
      <c r="A939" s="13">
        <f t="shared" si="337"/>
        <v>939</v>
      </c>
      <c r="B939" s="4" t="str">
        <f t="shared" si="360"/>
        <v>592 / STATION EQUIPMENT</v>
      </c>
      <c r="C939" s="25"/>
      <c r="D939" s="43" t="s">
        <v>508</v>
      </c>
      <c r="E939" s="44">
        <f>A151</f>
        <v>151</v>
      </c>
      <c r="F939" s="45"/>
      <c r="G939" s="21">
        <f t="shared" si="361"/>
        <v>2544373.23</v>
      </c>
      <c r="H939" s="48">
        <f>IF($G$151&lt;&gt;0,($G939)*(H151/$G$151),0)</f>
        <v>2434846.7775261807</v>
      </c>
      <c r="I939" s="48">
        <f>IF($G$151&lt;&gt;0,($G939)*(I151/$G$151),0)</f>
        <v>109526.45247381974</v>
      </c>
      <c r="J939" s="20">
        <f t="shared" si="363"/>
        <v>0</v>
      </c>
      <c r="L939" s="21">
        <v>2544373.23</v>
      </c>
      <c r="M939" s="21">
        <v>2544373.23</v>
      </c>
      <c r="N939" s="21">
        <v>2544373.23</v>
      </c>
      <c r="O939" s="21">
        <v>2544373.23</v>
      </c>
      <c r="P939" s="21">
        <v>2544373.23</v>
      </c>
      <c r="Q939" s="21">
        <v>2544373.23</v>
      </c>
      <c r="R939" s="21">
        <v>2544373.23</v>
      </c>
      <c r="S939" s="21">
        <v>2544373.23</v>
      </c>
    </row>
    <row r="940" spans="1:19" x14ac:dyDescent="0.2">
      <c r="A940" s="13">
        <f t="shared" si="337"/>
        <v>940</v>
      </c>
      <c r="B940" s="4" t="str">
        <f t="shared" si="360"/>
        <v>593 / OVERHEAD LINES</v>
      </c>
      <c r="C940" s="25"/>
      <c r="D940" s="43" t="s">
        <v>508</v>
      </c>
      <c r="E940" s="44" t="str">
        <f>A152&amp;"+"&amp;A153</f>
        <v>152+153</v>
      </c>
      <c r="F940" s="45"/>
      <c r="G940" s="21">
        <f t="shared" si="361"/>
        <v>4643526.0199999996</v>
      </c>
      <c r="H940" s="48">
        <f t="shared" ref="H940:I940" si="364">IF(SUM($G$152+$G$153)&lt;&gt;0,($G940)*(SUM(H$152+H$153)/SUM($G$152+$G$153)),0)</f>
        <v>4300225.4200979201</v>
      </c>
      <c r="I940" s="48">
        <f t="shared" si="364"/>
        <v>343300.59990208002</v>
      </c>
      <c r="J940" s="20">
        <f t="shared" si="363"/>
        <v>0</v>
      </c>
      <c r="L940" s="21">
        <v>4643526.0199999996</v>
      </c>
      <c r="M940" s="21">
        <v>4643526.0199999996</v>
      </c>
      <c r="N940" s="21">
        <v>4643526.0199999996</v>
      </c>
      <c r="O940" s="21">
        <v>4643526.0199999996</v>
      </c>
      <c r="P940" s="21">
        <v>4643526.0199999996</v>
      </c>
      <c r="Q940" s="21">
        <v>4643526.0199999996</v>
      </c>
      <c r="R940" s="21">
        <v>4643526.0199999996</v>
      </c>
      <c r="S940" s="21">
        <v>4643526.0199999996</v>
      </c>
    </row>
    <row r="941" spans="1:19" x14ac:dyDescent="0.2">
      <c r="A941" s="13">
        <f t="shared" si="337"/>
        <v>941</v>
      </c>
      <c r="B941" s="4" t="str">
        <f t="shared" si="360"/>
        <v>594 / UNDERGROUND LINES</v>
      </c>
      <c r="C941" s="25"/>
      <c r="D941" s="43" t="s">
        <v>508</v>
      </c>
      <c r="E941" s="44" t="str">
        <f>A154&amp;"+"&amp;A155</f>
        <v>154+155</v>
      </c>
      <c r="F941" s="45"/>
      <c r="G941" s="21">
        <f t="shared" si="361"/>
        <v>246664.36</v>
      </c>
      <c r="H941" s="48">
        <f t="shared" ref="H941:I941" si="365">IF(SUM($G$154+$G$155)&lt;&gt;0,($G941)*(SUM(H$154+H$155)/SUM($G$154+$G$155)),0)</f>
        <v>242945.92128822856</v>
      </c>
      <c r="I941" s="48">
        <f t="shared" si="365"/>
        <v>3718.4387117713659</v>
      </c>
      <c r="J941" s="20">
        <f t="shared" si="363"/>
        <v>0</v>
      </c>
      <c r="L941" s="21">
        <v>246664.36</v>
      </c>
      <c r="M941" s="21">
        <v>246664.36</v>
      </c>
      <c r="N941" s="21">
        <v>246664.36</v>
      </c>
      <c r="O941" s="21">
        <v>246664.36</v>
      </c>
      <c r="P941" s="21">
        <v>246664.36</v>
      </c>
      <c r="Q941" s="21">
        <v>246664.36</v>
      </c>
      <c r="R941" s="21">
        <v>246664.36</v>
      </c>
      <c r="S941" s="21">
        <v>246664.36</v>
      </c>
    </row>
    <row r="942" spans="1:19" x14ac:dyDescent="0.2">
      <c r="A942" s="13">
        <f t="shared" si="337"/>
        <v>942</v>
      </c>
      <c r="B942" s="4" t="str">
        <f t="shared" si="360"/>
        <v>595 / LINE TRANSFORMERS</v>
      </c>
      <c r="C942" s="25"/>
      <c r="D942" s="43" t="s">
        <v>508</v>
      </c>
      <c r="E942" s="44">
        <f>A156</f>
        <v>156</v>
      </c>
      <c r="F942" s="45"/>
      <c r="G942" s="21">
        <f t="shared" si="361"/>
        <v>24094.04</v>
      </c>
      <c r="H942" s="48">
        <f t="shared" ref="H942:I942" si="366">IF($G$156&lt;&gt;0,($G942)*(H$156/$G$156),0)</f>
        <v>23211.101373636513</v>
      </c>
      <c r="I942" s="48">
        <f t="shared" si="366"/>
        <v>882.93862636348797</v>
      </c>
      <c r="J942" s="20">
        <f t="shared" si="363"/>
        <v>0</v>
      </c>
      <c r="L942" s="21">
        <v>24094.04</v>
      </c>
      <c r="M942" s="21">
        <v>24094.04</v>
      </c>
      <c r="N942" s="21">
        <v>24094.04</v>
      </c>
      <c r="O942" s="21">
        <v>24094.04</v>
      </c>
      <c r="P942" s="21">
        <v>24094.04</v>
      </c>
      <c r="Q942" s="21">
        <v>24094.04</v>
      </c>
      <c r="R942" s="21">
        <v>24094.04</v>
      </c>
      <c r="S942" s="21">
        <v>24094.04</v>
      </c>
    </row>
    <row r="943" spans="1:19" x14ac:dyDescent="0.2">
      <c r="A943" s="13">
        <f t="shared" si="337"/>
        <v>943</v>
      </c>
      <c r="B943" s="4" t="str">
        <f t="shared" si="360"/>
        <v>596 / STREET LIGHTING &amp; SIGNAL SYSTEMS</v>
      </c>
      <c r="C943" s="25"/>
      <c r="D943" s="43" t="s">
        <v>508</v>
      </c>
      <c r="E943" s="44">
        <f>A160</f>
        <v>160</v>
      </c>
      <c r="F943" s="45"/>
      <c r="G943" s="21">
        <f t="shared" si="361"/>
        <v>139556.67000000001</v>
      </c>
      <c r="H943" s="48">
        <f t="shared" ref="H943:I943" si="367">IF($G$160&lt;&gt;0,($G943)*(H$160/$G$160),0)</f>
        <v>133469.00387974881</v>
      </c>
      <c r="I943" s="48">
        <f t="shared" si="367"/>
        <v>6087.6661202512078</v>
      </c>
      <c r="J943" s="20">
        <f t="shared" si="363"/>
        <v>0</v>
      </c>
      <c r="L943" s="21">
        <v>139556.67000000001</v>
      </c>
      <c r="M943" s="21">
        <v>139556.67000000001</v>
      </c>
      <c r="N943" s="21">
        <v>139556.67000000001</v>
      </c>
      <c r="O943" s="21">
        <v>139556.67000000001</v>
      </c>
      <c r="P943" s="21">
        <v>139556.67000000001</v>
      </c>
      <c r="Q943" s="21">
        <v>139556.67000000001</v>
      </c>
      <c r="R943" s="21">
        <v>139556.67000000001</v>
      </c>
      <c r="S943" s="21">
        <v>139556.67000000001</v>
      </c>
    </row>
    <row r="944" spans="1:19" x14ac:dyDescent="0.2">
      <c r="A944" s="13">
        <f t="shared" si="337"/>
        <v>944</v>
      </c>
      <c r="B944" s="4" t="str">
        <f t="shared" si="360"/>
        <v>597 / METERS</v>
      </c>
      <c r="C944" s="25"/>
      <c r="D944" s="43" t="s">
        <v>508</v>
      </c>
      <c r="E944" s="44">
        <f>A158</f>
        <v>158</v>
      </c>
      <c r="F944" s="45"/>
      <c r="G944" s="21">
        <f t="shared" si="361"/>
        <v>676565.77</v>
      </c>
      <c r="H944" s="48">
        <f t="shared" ref="H944:I944" si="368">IF($G$158&lt;&gt;0,($G944)*(H$158/$G$158),0)</f>
        <v>654017.57830658043</v>
      </c>
      <c r="I944" s="48">
        <f t="shared" si="368"/>
        <v>22548.191693419711</v>
      </c>
      <c r="J944" s="20">
        <f t="shared" si="363"/>
        <v>0</v>
      </c>
      <c r="L944" s="21">
        <v>676565.77</v>
      </c>
      <c r="M944" s="21">
        <v>676565.77</v>
      </c>
      <c r="N944" s="21">
        <v>676565.77</v>
      </c>
      <c r="O944" s="21">
        <v>676565.77</v>
      </c>
      <c r="P944" s="21">
        <v>676565.77</v>
      </c>
      <c r="Q944" s="21">
        <v>676565.77</v>
      </c>
      <c r="R944" s="21">
        <v>676565.77</v>
      </c>
      <c r="S944" s="21">
        <v>676565.77</v>
      </c>
    </row>
    <row r="945" spans="1:19" x14ac:dyDescent="0.2">
      <c r="A945" s="13">
        <f t="shared" si="337"/>
        <v>945</v>
      </c>
      <c r="B945" s="4" t="str">
        <f t="shared" si="360"/>
        <v>598 / MISCELLANEOUS PLANT</v>
      </c>
      <c r="C945" s="25"/>
      <c r="D945" s="43" t="s">
        <v>508</v>
      </c>
      <c r="E945" s="44">
        <f>A162</f>
        <v>162</v>
      </c>
      <c r="F945" s="45"/>
      <c r="G945" s="21">
        <f t="shared" si="361"/>
        <v>72840.33</v>
      </c>
      <c r="H945" s="48">
        <f t="shared" ref="H945:I945" si="369">IF($G$162&lt;&gt;0,($G945)*(H$162/$G$162),0)</f>
        <v>69752.922144694006</v>
      </c>
      <c r="I945" s="48">
        <f t="shared" si="369"/>
        <v>3087.4078553060071</v>
      </c>
      <c r="J945" s="20">
        <f t="shared" si="363"/>
        <v>0</v>
      </c>
      <c r="L945" s="21">
        <v>72840.33</v>
      </c>
      <c r="M945" s="21">
        <v>72840.33</v>
      </c>
      <c r="N945" s="21">
        <v>72840.33</v>
      </c>
      <c r="O945" s="21">
        <v>72840.33</v>
      </c>
      <c r="P945" s="21">
        <v>72840.33</v>
      </c>
      <c r="Q945" s="21">
        <v>72840.33</v>
      </c>
      <c r="R945" s="21">
        <v>72840.33</v>
      </c>
      <c r="S945" s="21">
        <v>72840.33</v>
      </c>
    </row>
    <row r="946" spans="1:19" x14ac:dyDescent="0.2">
      <c r="A946" s="13">
        <f t="shared" si="337"/>
        <v>946</v>
      </c>
      <c r="B946" s="4" t="str">
        <f t="shared" si="360"/>
        <v/>
      </c>
      <c r="C946" s="4" t="str">
        <f>(C555)</f>
        <v>TOTAL DISTRIBUTION MAINTENANCE</v>
      </c>
      <c r="D946" s="43" t="s">
        <v>5</v>
      </c>
      <c r="E946" s="44" t="s">
        <v>5</v>
      </c>
      <c r="F946" s="45"/>
      <c r="G946" s="46">
        <f>SUM(G937:G945)</f>
        <v>8357499.5399999991</v>
      </c>
      <c r="H946" s="46">
        <f>SUM(H937:H945)</f>
        <v>7867929.1085583866</v>
      </c>
      <c r="I946" s="46">
        <f t="shared" ref="I946" si="370">SUM(I937:I945)</f>
        <v>489570.43144161411</v>
      </c>
      <c r="J946" s="20">
        <f t="shared" si="363"/>
        <v>0</v>
      </c>
      <c r="L946" s="21">
        <v>0</v>
      </c>
      <c r="M946" s="21">
        <v>0</v>
      </c>
      <c r="N946" s="21">
        <v>0</v>
      </c>
      <c r="O946" s="21">
        <v>0</v>
      </c>
      <c r="P946" s="21">
        <v>0</v>
      </c>
      <c r="Q946" s="21">
        <v>0</v>
      </c>
      <c r="R946" s="21">
        <v>0</v>
      </c>
      <c r="S946" s="21">
        <v>0</v>
      </c>
    </row>
    <row r="947" spans="1:19" x14ac:dyDescent="0.2">
      <c r="A947" s="13">
        <f t="shared" si="337"/>
        <v>947</v>
      </c>
      <c r="B947" s="4" t="str">
        <f>(B557)</f>
        <v/>
      </c>
      <c r="C947" s="4" t="str">
        <f>(C557)</f>
        <v>TOTAL DISTRIBUTION EXPENSES</v>
      </c>
      <c r="D947" s="43" t="s">
        <v>5</v>
      </c>
      <c r="E947" s="44" t="s">
        <v>5</v>
      </c>
      <c r="F947" s="45"/>
      <c r="G947" s="46">
        <f>SUM(G933+G946)</f>
        <v>27861539.789999999</v>
      </c>
      <c r="H947" s="46">
        <f t="shared" ref="H947:I947" si="371">SUM(H933+H946)</f>
        <v>26489342.721641202</v>
      </c>
      <c r="I947" s="46">
        <f t="shared" si="371"/>
        <v>1372197.068358799</v>
      </c>
      <c r="J947" s="20">
        <f t="shared" si="363"/>
        <v>0</v>
      </c>
      <c r="L947" s="21">
        <v>0</v>
      </c>
      <c r="M947" s="21">
        <v>0</v>
      </c>
      <c r="N947" s="21">
        <v>0</v>
      </c>
      <c r="O947" s="21">
        <v>0</v>
      </c>
      <c r="P947" s="21">
        <v>0</v>
      </c>
      <c r="Q947" s="21">
        <v>0</v>
      </c>
      <c r="R947" s="21">
        <v>0</v>
      </c>
      <c r="S947" s="21">
        <v>0</v>
      </c>
    </row>
    <row r="948" spans="1:19" x14ac:dyDescent="0.2">
      <c r="A948" s="13">
        <f t="shared" si="337"/>
        <v>948</v>
      </c>
      <c r="B948" s="4" t="str">
        <f>(B556)</f>
        <v/>
      </c>
      <c r="C948" s="4" t="str">
        <f>(C556)</f>
        <v/>
      </c>
      <c r="D948" s="43" t="s">
        <v>5</v>
      </c>
      <c r="E948" s="44" t="s">
        <v>5</v>
      </c>
      <c r="F948" s="45"/>
      <c r="L948" s="21">
        <v>0</v>
      </c>
      <c r="M948" s="21">
        <v>0</v>
      </c>
      <c r="N948" s="21">
        <v>0</v>
      </c>
      <c r="O948" s="21">
        <v>0</v>
      </c>
      <c r="P948" s="21">
        <v>0</v>
      </c>
      <c r="Q948" s="21">
        <v>0</v>
      </c>
      <c r="R948" s="21">
        <v>0</v>
      </c>
      <c r="S948" s="21">
        <v>0</v>
      </c>
    </row>
    <row r="949" spans="1:19" x14ac:dyDescent="0.2">
      <c r="A949" s="13">
        <f t="shared" si="337"/>
        <v>949</v>
      </c>
      <c r="B949" s="4" t="s">
        <v>35</v>
      </c>
      <c r="C949" s="4" t="str">
        <f>(B559)</f>
        <v>CUSTOMER ACCOUNTING EXPENSES</v>
      </c>
      <c r="D949" s="43" t="s">
        <v>5</v>
      </c>
      <c r="E949" s="44" t="s">
        <v>5</v>
      </c>
      <c r="F949" s="45"/>
      <c r="L949" s="21">
        <v>0</v>
      </c>
      <c r="M949" s="21">
        <v>0</v>
      </c>
      <c r="N949" s="21">
        <v>0</v>
      </c>
      <c r="O949" s="21">
        <v>0</v>
      </c>
      <c r="P949" s="21">
        <v>0</v>
      </c>
      <c r="Q949" s="21">
        <v>0</v>
      </c>
      <c r="R949" s="21">
        <v>0</v>
      </c>
      <c r="S949" s="21">
        <v>0</v>
      </c>
    </row>
    <row r="950" spans="1:19" x14ac:dyDescent="0.2">
      <c r="A950" s="13">
        <f t="shared" si="337"/>
        <v>950</v>
      </c>
      <c r="B950" s="4" t="str">
        <f t="shared" ref="B950:B955" si="372">(B560)</f>
        <v>901 / SUPERVISION</v>
      </c>
      <c r="C950" s="25"/>
      <c r="D950" s="43" t="s">
        <v>508</v>
      </c>
      <c r="E950" s="44">
        <f>A955</f>
        <v>955</v>
      </c>
      <c r="F950" s="45"/>
      <c r="G950" s="21">
        <f>IF($E$1149=1,($L950),IF($E$1149=2,($M950),IF($E$1149=3,($N950),IF($E$1149=4,($O950),IF($E$1149=5,($P950),IF($E$1149=6,($Q950),IF($E$1149=7,($R950),IF($E$1149=8,($S950),0))))))))</f>
        <v>720461.36</v>
      </c>
      <c r="H950" s="48">
        <f>IF(SUM($G$951:$G$954)&lt;&gt;0,($G950)*(SUM(H$951:H$954)/SUM($G$951:$G$954)),0)</f>
        <v>684698.79351194529</v>
      </c>
      <c r="I950" s="48">
        <f>IF(SUM($G$951:$G$954)&lt;&gt;0,($G950)*(SUM(I$951:I$954)/SUM($G$951:$G$954)),0)</f>
        <v>35762.566488054552</v>
      </c>
      <c r="J950" s="20">
        <f t="shared" ref="J950:J955" si="373">IF($E$1149=1,($G950),IF($E$1149=2,($G950),IF($E$1149=3,0,IF($E$1149=4,($H950),IF($E$1149=5,($I950),0)))))</f>
        <v>0</v>
      </c>
      <c r="L950" s="21">
        <v>720461.36</v>
      </c>
      <c r="M950" s="21">
        <v>720461.36</v>
      </c>
      <c r="N950" s="21">
        <v>720461.36</v>
      </c>
      <c r="O950" s="21">
        <v>720461.36</v>
      </c>
      <c r="P950" s="21">
        <v>720461.36</v>
      </c>
      <c r="Q950" s="21">
        <v>720461.36</v>
      </c>
      <c r="R950" s="21">
        <v>720461.36</v>
      </c>
      <c r="S950" s="21">
        <v>720461.36</v>
      </c>
    </row>
    <row r="951" spans="1:19" x14ac:dyDescent="0.2">
      <c r="A951" s="13">
        <f t="shared" si="337"/>
        <v>951</v>
      </c>
      <c r="B951" s="4" t="str">
        <f t="shared" si="372"/>
        <v>902 / METER READING</v>
      </c>
      <c r="C951" s="25"/>
      <c r="D951" s="43" t="s">
        <v>5</v>
      </c>
      <c r="E951" s="44" t="str">
        <f>(E$1017)</f>
        <v>CW902</v>
      </c>
      <c r="F951" s="45"/>
      <c r="G951" s="21">
        <f>IF($E$1149=1,($L951),IF($E$1149=2,($M951),IF($E$1149=3,($N951),IF($E$1149=4,($O951),IF($E$1149=5,($P951),IF($E$1149=6,($Q951),IF($E$1149=7,($R951),IF($E$1149=8,($S951),0))))))))</f>
        <v>1190799.56</v>
      </c>
      <c r="H951" s="48">
        <f t="shared" ref="H951:I953" si="374">IF($G1017&lt;&gt;0,($G951)*(H1017/$G1017),0)</f>
        <v>976769.88262597355</v>
      </c>
      <c r="I951" s="48">
        <f t="shared" si="374"/>
        <v>214029.67737402651</v>
      </c>
      <c r="J951" s="20">
        <f t="shared" si="373"/>
        <v>0</v>
      </c>
      <c r="L951" s="21">
        <v>1190799.56</v>
      </c>
      <c r="M951" s="21">
        <v>1190799.56</v>
      </c>
      <c r="N951" s="21">
        <v>1190799.56</v>
      </c>
      <c r="O951" s="21">
        <v>1190799.56</v>
      </c>
      <c r="P951" s="21">
        <v>1190799.56</v>
      </c>
      <c r="Q951" s="21">
        <v>1190799.56</v>
      </c>
      <c r="R951" s="21">
        <v>1190799.56</v>
      </c>
      <c r="S951" s="21">
        <v>1190799.56</v>
      </c>
    </row>
    <row r="952" spans="1:19" x14ac:dyDescent="0.2">
      <c r="A952" s="13">
        <f t="shared" si="337"/>
        <v>952</v>
      </c>
      <c r="B952" s="4" t="str">
        <f t="shared" si="372"/>
        <v>903 / CUSTOMER RECORDS &amp; COLLECTIONS</v>
      </c>
      <c r="C952" s="25"/>
      <c r="D952" s="43" t="s">
        <v>5</v>
      </c>
      <c r="E952" s="44" t="str">
        <f>(E$1018)</f>
        <v>CW903</v>
      </c>
      <c r="F952" s="45"/>
      <c r="G952" s="21">
        <f>IF($E$1149=1,($L952),IF($E$1149=2,($M952),IF($E$1149=3,($N952),IF($E$1149=4,($O952),IF($E$1149=5,($P952),IF($E$1149=6,($Q952),IF($E$1149=7,($R952),IF($E$1149=8,($S952),0))))))))</f>
        <v>9139947.9900000002</v>
      </c>
      <c r="H952" s="48">
        <f t="shared" si="374"/>
        <v>8841175.6398951598</v>
      </c>
      <c r="I952" s="48">
        <f t="shared" si="374"/>
        <v>298772.35010484024</v>
      </c>
      <c r="J952" s="20">
        <f t="shared" si="373"/>
        <v>0</v>
      </c>
      <c r="L952" s="21">
        <v>9139947.9900000002</v>
      </c>
      <c r="M952" s="21">
        <v>9139947.9900000002</v>
      </c>
      <c r="N952" s="21">
        <v>9139947.9900000002</v>
      </c>
      <c r="O952" s="21">
        <v>9139947.9900000002</v>
      </c>
      <c r="P952" s="21">
        <v>9139947.9900000002</v>
      </c>
      <c r="Q952" s="21">
        <v>9139947.9900000002</v>
      </c>
      <c r="R952" s="21">
        <v>9139947.9900000002</v>
      </c>
      <c r="S952" s="21">
        <v>9139947.9900000002</v>
      </c>
    </row>
    <row r="953" spans="1:19" x14ac:dyDescent="0.2">
      <c r="A953" s="13">
        <f t="shared" si="337"/>
        <v>953</v>
      </c>
      <c r="B953" s="4" t="str">
        <f t="shared" si="372"/>
        <v>904 / UNCOLLECTIBLE ACCOUNTS</v>
      </c>
      <c r="C953" s="25"/>
      <c r="D953" s="43" t="s">
        <v>5</v>
      </c>
      <c r="E953" s="44" t="str">
        <f>(E$1019)</f>
        <v>CW904</v>
      </c>
      <c r="F953" s="45"/>
      <c r="G953" s="21">
        <f>IF($E$1149=1,($L953),IF($E$1149=2,($M953),IF($E$1149=3,($N953),IF($E$1149=4,($O953),IF($E$1149=5,($P953),IF($E$1149=6,($Q953),IF($E$1149=7,($R953),IF($E$1149=8,($S953),0))))))))</f>
        <v>0</v>
      </c>
      <c r="H953" s="48">
        <f t="shared" si="374"/>
        <v>0</v>
      </c>
      <c r="I953" s="48">
        <f t="shared" si="374"/>
        <v>0</v>
      </c>
      <c r="J953" s="20">
        <f t="shared" si="373"/>
        <v>0</v>
      </c>
      <c r="L953" s="21">
        <v>0</v>
      </c>
      <c r="M953" s="21">
        <v>0</v>
      </c>
      <c r="N953" s="21">
        <v>0</v>
      </c>
      <c r="O953" s="21">
        <v>0</v>
      </c>
      <c r="P953" s="21">
        <v>0</v>
      </c>
      <c r="Q953" s="21">
        <v>0</v>
      </c>
      <c r="R953" s="21">
        <v>0</v>
      </c>
      <c r="S953" s="21">
        <v>0</v>
      </c>
    </row>
    <row r="954" spans="1:19" x14ac:dyDescent="0.2">
      <c r="A954" s="13">
        <f t="shared" si="337"/>
        <v>954</v>
      </c>
      <c r="B954" s="4" t="str">
        <f t="shared" si="372"/>
        <v>905 / MISC  EXPENSES</v>
      </c>
      <c r="C954" s="25"/>
      <c r="D954" s="43" t="s">
        <v>508</v>
      </c>
      <c r="E954" s="44" t="str">
        <f>A951&amp;"-"&amp;A953</f>
        <v>951-953</v>
      </c>
      <c r="F954" s="45"/>
      <c r="G954" s="21">
        <f>IF($E$1149=1,($L954),IF($E$1149=2,($M954),IF($E$1149=3,($N954),IF($E$1149=4,($O954),IF($E$1149=5,($P954),IF($E$1149=6,($Q954),IF($E$1149=7,($R954),IF($E$1149=8,($S954),0))))))))</f>
        <v>0</v>
      </c>
      <c r="H954" s="48">
        <f>IF(SUM($G$951:$G$953)&lt;&gt;0,($G954)*(SUM(H$951:H$953)/SUM($G$951:$G$953)),0)</f>
        <v>0</v>
      </c>
      <c r="I954" s="48">
        <f>IF(SUM($G$951:$G$953)&lt;&gt;0,($G954)*(SUM(I$951:I$953)/SUM($G$951:$G$953)),0)</f>
        <v>0</v>
      </c>
      <c r="J954" s="20">
        <f t="shared" si="373"/>
        <v>0</v>
      </c>
      <c r="L954" s="21">
        <v>0</v>
      </c>
      <c r="M954" s="21">
        <v>0</v>
      </c>
      <c r="N954" s="21">
        <v>0</v>
      </c>
      <c r="O954" s="21">
        <v>0</v>
      </c>
      <c r="P954" s="21">
        <v>0</v>
      </c>
      <c r="Q954" s="21">
        <v>0</v>
      </c>
      <c r="R954" s="21">
        <v>0</v>
      </c>
      <c r="S954" s="21">
        <v>0</v>
      </c>
    </row>
    <row r="955" spans="1:19" x14ac:dyDescent="0.2">
      <c r="A955" s="13">
        <f t="shared" si="337"/>
        <v>955</v>
      </c>
      <c r="B955" s="4" t="str">
        <f t="shared" si="372"/>
        <v/>
      </c>
      <c r="C955" s="4" t="str">
        <f>(C565)</f>
        <v>TOTAL CUSTOMER ACCOUNTING EXPENSES</v>
      </c>
      <c r="D955" s="43" t="s">
        <v>5</v>
      </c>
      <c r="E955" s="44" t="s">
        <v>5</v>
      </c>
      <c r="F955" s="45"/>
      <c r="G955" s="46">
        <f>SUM(G950:G954)</f>
        <v>11051208.91</v>
      </c>
      <c r="H955" s="46">
        <f t="shared" ref="H955:I955" si="375">SUM(H950:H954)</f>
        <v>10502644.316033078</v>
      </c>
      <c r="I955" s="46">
        <f t="shared" si="375"/>
        <v>548564.59396692133</v>
      </c>
      <c r="J955" s="20">
        <f t="shared" si="373"/>
        <v>0</v>
      </c>
      <c r="L955" s="21">
        <v>0</v>
      </c>
      <c r="M955" s="21">
        <v>0</v>
      </c>
      <c r="N955" s="21">
        <v>0</v>
      </c>
      <c r="O955" s="21">
        <v>0</v>
      </c>
      <c r="P955" s="21">
        <v>0</v>
      </c>
      <c r="Q955" s="21">
        <v>0</v>
      </c>
      <c r="R955" s="21">
        <v>0</v>
      </c>
      <c r="S955" s="21">
        <v>0</v>
      </c>
    </row>
    <row r="956" spans="1:19" x14ac:dyDescent="0.2">
      <c r="A956" s="13">
        <f t="shared" si="337"/>
        <v>956</v>
      </c>
      <c r="B956" s="4" t="s">
        <v>39</v>
      </c>
      <c r="C956" s="4" t="s">
        <v>39</v>
      </c>
      <c r="D956" s="43" t="s">
        <v>5</v>
      </c>
      <c r="E956" s="44" t="s">
        <v>5</v>
      </c>
      <c r="F956" s="45"/>
      <c r="L956" s="21">
        <v>0</v>
      </c>
      <c r="M956" s="21">
        <v>0</v>
      </c>
      <c r="N956" s="21">
        <v>0</v>
      </c>
      <c r="O956" s="21">
        <v>0</v>
      </c>
      <c r="P956" s="21">
        <v>0</v>
      </c>
      <c r="Q956" s="21">
        <v>0</v>
      </c>
      <c r="R956" s="21">
        <v>0</v>
      </c>
      <c r="S956" s="21">
        <v>0</v>
      </c>
    </row>
    <row r="957" spans="1:19" x14ac:dyDescent="0.2">
      <c r="A957" s="13">
        <f t="shared" si="337"/>
        <v>957</v>
      </c>
      <c r="B957" s="4" t="s">
        <v>39</v>
      </c>
      <c r="C957" s="4" t="str">
        <f>(B566)</f>
        <v>CUSTOMER SERVICES &amp; INFORMATION EXPENSES</v>
      </c>
      <c r="D957" s="43" t="s">
        <v>5</v>
      </c>
      <c r="E957" s="44" t="s">
        <v>5</v>
      </c>
      <c r="F957" s="45"/>
      <c r="L957" s="21">
        <v>0</v>
      </c>
      <c r="M957" s="21">
        <v>0</v>
      </c>
      <c r="N957" s="21">
        <v>0</v>
      </c>
      <c r="O957" s="21">
        <v>0</v>
      </c>
      <c r="P957" s="21">
        <v>0</v>
      </c>
      <c r="Q957" s="21">
        <v>0</v>
      </c>
      <c r="R957" s="21">
        <v>0</v>
      </c>
      <c r="S957" s="21">
        <v>0</v>
      </c>
    </row>
    <row r="958" spans="1:19" x14ac:dyDescent="0.2">
      <c r="A958" s="13">
        <f t="shared" si="337"/>
        <v>958</v>
      </c>
      <c r="B958" s="4" t="str">
        <f>(B567)</f>
        <v>907 / SUPERVISION</v>
      </c>
      <c r="C958" s="25"/>
      <c r="D958" s="43" t="s">
        <v>508</v>
      </c>
      <c r="E958" s="44">
        <f>A961</f>
        <v>961</v>
      </c>
      <c r="F958" s="45"/>
      <c r="G958" s="21">
        <f>IF($E$1149=1,($L958),IF($E$1149=2,($M958),IF($E$1149=3,($N958),IF($E$1149=4,($O958),IF($E$1149=5,($P958),IF($E$1149=6,($Q958),IF($E$1149=7,($R958),IF($E$1149=8,($S958),0))))))))</f>
        <v>702196.16</v>
      </c>
      <c r="H958" s="48">
        <f>IF(SUM($G$959:$G$961)&lt;&gt;0,($G958)*(SUM(H$959:H$961)/SUM($G$959:$G$961)),0)</f>
        <v>679171.4099924725</v>
      </c>
      <c r="I958" s="48">
        <f>IF(SUM($G$959:$G$961)&lt;&gt;0,($G958)*(SUM(I$959:I$961)/SUM($G$959:$G$961)),0)</f>
        <v>23024.750007527349</v>
      </c>
      <c r="J958" s="20">
        <f t="shared" ref="J958:J962" si="376">IF($E$1149=1,($G958),IF($E$1149=2,($G958),IF($E$1149=3,0,IF($E$1149=4,($H958),IF($E$1149=5,($I958),0)))))</f>
        <v>0</v>
      </c>
      <c r="L958" s="21">
        <v>702196.16</v>
      </c>
      <c r="M958" s="21">
        <v>702196.16</v>
      </c>
      <c r="N958" s="21">
        <v>702196.16</v>
      </c>
      <c r="O958" s="21">
        <v>702196.16</v>
      </c>
      <c r="P958" s="21">
        <v>702196.16</v>
      </c>
      <c r="Q958" s="21">
        <v>702196.16</v>
      </c>
      <c r="R958" s="21">
        <v>702196.16</v>
      </c>
      <c r="S958" s="21">
        <v>702196.16</v>
      </c>
    </row>
    <row r="959" spans="1:19" x14ac:dyDescent="0.2">
      <c r="A959" s="13">
        <f t="shared" si="337"/>
        <v>959</v>
      </c>
      <c r="B959" s="4" t="str">
        <f>(B568)</f>
        <v>908 / CUSTOMER ASSISTANCE</v>
      </c>
      <c r="C959" s="25"/>
      <c r="D959" s="43" t="s">
        <v>508</v>
      </c>
      <c r="E959" s="44">
        <f>A571</f>
        <v>571</v>
      </c>
      <c r="F959" s="45"/>
      <c r="G959" s="21">
        <f>IF($E$1149=1,($L959),IF($E$1149=2,($M959),IF($E$1149=3,($N959),IF($E$1149=4,($O959),IF($E$1149=5,($P959),IF($E$1149=6,($Q959),IF($E$1149=7,($R959),IF($E$1149=8,($S959),0))))))))</f>
        <v>4266841.79</v>
      </c>
      <c r="H959" s="48">
        <f>IF(SUM($G$571)&lt;&gt;0,($G959)*(SUM(H$569:H$570)/SUM($G$571)),0)</f>
        <v>4126933.6402083226</v>
      </c>
      <c r="I959" s="48">
        <f>IF(SUM($G$571)&lt;&gt;0,($G959)*(SUM(I$569:I$570)/SUM($G$571)),0)</f>
        <v>139908.14979167716</v>
      </c>
      <c r="J959" s="20">
        <f t="shared" si="376"/>
        <v>0</v>
      </c>
      <c r="L959" s="21">
        <v>4266841.79</v>
      </c>
      <c r="M959" s="21">
        <v>4266841.79</v>
      </c>
      <c r="N959" s="21">
        <v>4266841.79</v>
      </c>
      <c r="O959" s="21">
        <v>4266841.79</v>
      </c>
      <c r="P959" s="21">
        <v>4266841.79</v>
      </c>
      <c r="Q959" s="21">
        <v>4266841.79</v>
      </c>
      <c r="R959" s="21">
        <v>4266841.79</v>
      </c>
      <c r="S959" s="21">
        <v>4266841.79</v>
      </c>
    </row>
    <row r="960" spans="1:19" x14ac:dyDescent="0.2">
      <c r="A960" s="13">
        <f t="shared" si="337"/>
        <v>960</v>
      </c>
      <c r="B960" s="4" t="str">
        <f>(B572)</f>
        <v>909 / INFORMATION &amp; INSTRUCTIONAL</v>
      </c>
      <c r="C960" s="25"/>
      <c r="D960" s="43" t="s">
        <v>508</v>
      </c>
      <c r="E960" s="44">
        <f>A572</f>
        <v>572</v>
      </c>
      <c r="F960" s="45"/>
      <c r="G960" s="21">
        <f>IF($E$1149=1,($L960),IF($E$1149=2,($M960),IF($E$1149=3,($N960),IF($E$1149=4,($O960),IF($E$1149=5,($P960),IF($E$1149=6,($Q960),IF($E$1149=7,($R960),IF($E$1149=8,($S960),0))))))))</f>
        <v>0</v>
      </c>
      <c r="H960" s="48">
        <f>IF(SUM($G572)&lt;&gt;0,($G960)*(SUM(H572)/SUM($G572)),0)</f>
        <v>0</v>
      </c>
      <c r="I960" s="48">
        <f>IF(SUM($G572)&lt;&gt;0,($G960)*(SUM(I572)/SUM($G572)),0)</f>
        <v>0</v>
      </c>
      <c r="J960" s="20">
        <f t="shared" si="376"/>
        <v>0</v>
      </c>
      <c r="L960" s="21">
        <v>0</v>
      </c>
      <c r="M960" s="21">
        <v>0</v>
      </c>
      <c r="N960" s="21">
        <v>0</v>
      </c>
      <c r="O960" s="21">
        <v>0</v>
      </c>
      <c r="P960" s="21">
        <v>0</v>
      </c>
      <c r="Q960" s="21">
        <v>0</v>
      </c>
      <c r="R960" s="21">
        <v>0</v>
      </c>
      <c r="S960" s="21">
        <v>0</v>
      </c>
    </row>
    <row r="961" spans="1:19" x14ac:dyDescent="0.2">
      <c r="A961" s="13">
        <f t="shared" si="337"/>
        <v>961</v>
      </c>
      <c r="B961" s="4" t="str">
        <f>(B573)</f>
        <v>910 / MISCELLANEOUS EXPENSES</v>
      </c>
      <c r="C961" s="25"/>
      <c r="D961" s="43" t="s">
        <v>508</v>
      </c>
      <c r="E961" s="44" t="str">
        <f>A959&amp;"+"&amp;A960</f>
        <v>959+960</v>
      </c>
      <c r="F961" s="45"/>
      <c r="G961" s="21">
        <f>IF($E$1149=1,($L961),IF($E$1149=2,($M961),IF($E$1149=3,($N961),IF($E$1149=4,($O961),IF($E$1149=5,($P961),IF($E$1149=6,($Q961),IF($E$1149=7,($R961),IF($E$1149=8,($S961),0))))))))</f>
        <v>417790.11</v>
      </c>
      <c r="H961" s="48">
        <f>IF(SUM($G$959:$G$960)&lt;&gt;0,($G961)*(SUM(H$959:H$960)/SUM($G$959:$G$960)),0)</f>
        <v>404090.92822383164</v>
      </c>
      <c r="I961" s="48">
        <f>IF(SUM($G$959:$G$960)&lt;&gt;0,($G961)*(SUM(I$959:I$960)/SUM($G$959:$G$960)),0)</f>
        <v>13699.181776168287</v>
      </c>
      <c r="J961" s="20">
        <f t="shared" si="376"/>
        <v>0</v>
      </c>
      <c r="L961" s="21">
        <v>417790.11</v>
      </c>
      <c r="M961" s="21">
        <v>417790.11</v>
      </c>
      <c r="N961" s="21">
        <v>417790.11</v>
      </c>
      <c r="O961" s="21">
        <v>417790.11</v>
      </c>
      <c r="P961" s="21">
        <v>417790.11</v>
      </c>
      <c r="Q961" s="21">
        <v>417790.11</v>
      </c>
      <c r="R961" s="21">
        <v>417790.11</v>
      </c>
      <c r="S961" s="21">
        <v>417790.11</v>
      </c>
    </row>
    <row r="962" spans="1:19" x14ac:dyDescent="0.2">
      <c r="A962" s="13">
        <f t="shared" si="337"/>
        <v>962</v>
      </c>
      <c r="B962" s="4" t="str">
        <f>(B574)</f>
        <v/>
      </c>
      <c r="C962" s="4" t="str">
        <f>(C574)</f>
        <v>TOTAL CUST SERV &amp; INFORMATN EXPENSES</v>
      </c>
      <c r="D962" s="43" t="s">
        <v>5</v>
      </c>
      <c r="E962" s="44" t="s">
        <v>5</v>
      </c>
      <c r="F962" s="45"/>
      <c r="G962" s="46">
        <f>SUM(G958:G961)</f>
        <v>5386828.0600000005</v>
      </c>
      <c r="H962" s="46">
        <f t="shared" ref="H962:I962" si="377">SUM(H958:H961)</f>
        <v>5210195.9784246264</v>
      </c>
      <c r="I962" s="46">
        <f t="shared" si="377"/>
        <v>176632.08157537281</v>
      </c>
      <c r="J962" s="20">
        <f t="shared" si="376"/>
        <v>0</v>
      </c>
      <c r="L962" s="21">
        <v>0</v>
      </c>
      <c r="M962" s="21">
        <v>0</v>
      </c>
      <c r="N962" s="21">
        <v>0</v>
      </c>
      <c r="O962" s="21">
        <v>0</v>
      </c>
      <c r="P962" s="21">
        <v>0</v>
      </c>
      <c r="Q962" s="21">
        <v>0</v>
      </c>
      <c r="R962" s="21">
        <v>0</v>
      </c>
      <c r="S962" s="21">
        <v>0</v>
      </c>
    </row>
    <row r="963" spans="1:19" x14ac:dyDescent="0.2">
      <c r="A963" s="13">
        <f t="shared" ref="A963:A1026" si="378">A962+1</f>
        <v>963</v>
      </c>
      <c r="B963" s="4"/>
      <c r="C963" s="4"/>
      <c r="D963" s="43"/>
      <c r="E963" s="44"/>
      <c r="F963" s="45"/>
      <c r="G963" s="46"/>
      <c r="H963" s="46"/>
      <c r="I963" s="46"/>
      <c r="L963" s="21">
        <v>0</v>
      </c>
      <c r="M963" s="21">
        <v>0</v>
      </c>
      <c r="N963" s="21">
        <v>0</v>
      </c>
      <c r="O963" s="21">
        <v>0</v>
      </c>
      <c r="P963" s="21">
        <v>0</v>
      </c>
      <c r="Q963" s="21">
        <v>0</v>
      </c>
      <c r="R963" s="21">
        <v>0</v>
      </c>
      <c r="S963" s="21">
        <v>0</v>
      </c>
    </row>
    <row r="964" spans="1:19" x14ac:dyDescent="0.2">
      <c r="A964" s="13">
        <f t="shared" si="378"/>
        <v>964</v>
      </c>
      <c r="B964" s="4"/>
      <c r="C964" s="4" t="s">
        <v>350</v>
      </c>
      <c r="D964" s="43"/>
      <c r="E964" s="44"/>
      <c r="F964" s="45"/>
      <c r="G964" s="46"/>
      <c r="H964" s="46"/>
      <c r="I964" s="46"/>
      <c r="L964" s="21">
        <v>0</v>
      </c>
      <c r="M964" s="21">
        <v>0</v>
      </c>
      <c r="N964" s="21">
        <v>0</v>
      </c>
      <c r="O964" s="21">
        <v>0</v>
      </c>
      <c r="P964" s="21">
        <v>0</v>
      </c>
      <c r="Q964" s="21">
        <v>0</v>
      </c>
      <c r="R964" s="21">
        <v>0</v>
      </c>
      <c r="S964" s="21">
        <v>0</v>
      </c>
    </row>
    <row r="965" spans="1:19" x14ac:dyDescent="0.2">
      <c r="A965" s="13">
        <f t="shared" si="378"/>
        <v>965</v>
      </c>
      <c r="B965" s="4" t="str">
        <f>(B577)</f>
        <v>912 / DEMO &amp; SELLING EXPENSES</v>
      </c>
      <c r="C965" s="25"/>
      <c r="D965" s="43" t="s">
        <v>508</v>
      </c>
      <c r="E965" s="44">
        <f>A577</f>
        <v>577</v>
      </c>
      <c r="F965" s="45"/>
      <c r="G965" s="21">
        <f>IF($E$1149=1,($L965),IF($E$1149=2,($M965),IF($E$1149=3,($N965),IF($E$1149=4,($O965),IF($E$1149=5,($P965),IF($E$1149=6,($Q965),IF($E$1149=7,($R965),IF($E$1149=8,($S965),0))))))))</f>
        <v>0</v>
      </c>
      <c r="H965" s="48">
        <f>IF(SUM($G577)&lt;&gt;0,($G965)*(SUM(H577)/SUM($G577)),0)</f>
        <v>0</v>
      </c>
      <c r="I965" s="48">
        <f>IF(SUM($G577)&lt;&gt;0,($G965)*(SUM(I577)/SUM($G577)),0)</f>
        <v>0</v>
      </c>
      <c r="J965" s="20">
        <f t="shared" ref="J965" si="379">IF($E$1149=1,($G965),IF($E$1149=2,($G965),IF($E$1149=3,0,IF($E$1149=4,($H965),IF($E$1149=5,($I965),0)))))</f>
        <v>0</v>
      </c>
      <c r="L965" s="21">
        <v>0</v>
      </c>
      <c r="M965" s="21">
        <v>0</v>
      </c>
      <c r="N965" s="21">
        <v>0</v>
      </c>
      <c r="O965" s="21">
        <v>0</v>
      </c>
      <c r="P965" s="21">
        <v>0</v>
      </c>
      <c r="Q965" s="21">
        <v>0</v>
      </c>
      <c r="R965" s="21">
        <v>0</v>
      </c>
      <c r="S965" s="21">
        <v>0</v>
      </c>
    </row>
    <row r="966" spans="1:19" x14ac:dyDescent="0.2">
      <c r="A966" s="13">
        <f t="shared" si="378"/>
        <v>966</v>
      </c>
      <c r="B966" s="4"/>
      <c r="C966" s="4" t="s">
        <v>352</v>
      </c>
      <c r="D966" s="43"/>
      <c r="E966" s="44"/>
      <c r="F966" s="45"/>
      <c r="G966" s="46">
        <f>SUM(G964:G965)</f>
        <v>0</v>
      </c>
      <c r="H966" s="46">
        <f t="shared" ref="H966:J966" si="380">SUM(H964:H965)</f>
        <v>0</v>
      </c>
      <c r="I966" s="46">
        <f t="shared" si="380"/>
        <v>0</v>
      </c>
      <c r="J966" s="46">
        <f t="shared" si="380"/>
        <v>0</v>
      </c>
      <c r="L966" s="21">
        <v>0</v>
      </c>
      <c r="M966" s="21">
        <v>0</v>
      </c>
      <c r="N966" s="21">
        <v>0</v>
      </c>
      <c r="O966" s="21">
        <v>0</v>
      </c>
      <c r="P966" s="21">
        <v>0</v>
      </c>
      <c r="Q966" s="21">
        <v>0</v>
      </c>
      <c r="R966" s="21">
        <v>0</v>
      </c>
      <c r="S966" s="21">
        <v>0</v>
      </c>
    </row>
    <row r="967" spans="1:19" x14ac:dyDescent="0.2">
      <c r="A967" s="13">
        <f t="shared" si="378"/>
        <v>967</v>
      </c>
      <c r="B967" s="38" t="str">
        <f>B865</f>
        <v>* * * TABLE 13 - DEVELOPMENT OF LABOR RELATED ALLOCATOR * * *</v>
      </c>
      <c r="C967" s="4"/>
      <c r="D967" s="43"/>
      <c r="E967" s="44"/>
      <c r="F967" s="45"/>
      <c r="L967" s="21">
        <v>0</v>
      </c>
      <c r="M967" s="21">
        <v>0</v>
      </c>
      <c r="N967" s="21">
        <v>0</v>
      </c>
      <c r="O967" s="21">
        <v>0</v>
      </c>
      <c r="P967" s="21">
        <v>0</v>
      </c>
      <c r="Q967" s="21">
        <v>0</v>
      </c>
      <c r="R967" s="21">
        <v>0</v>
      </c>
      <c r="S967" s="21">
        <v>0</v>
      </c>
    </row>
    <row r="968" spans="1:19" x14ac:dyDescent="0.2">
      <c r="A968" s="13">
        <f t="shared" si="378"/>
        <v>968</v>
      </c>
      <c r="B968" s="4"/>
      <c r="C968" s="4"/>
      <c r="D968" s="43" t="s">
        <v>5</v>
      </c>
      <c r="E968" s="44" t="s">
        <v>5</v>
      </c>
      <c r="F968" s="45"/>
      <c r="L968" s="21">
        <v>0</v>
      </c>
      <c r="M968" s="21">
        <v>0</v>
      </c>
      <c r="N968" s="21">
        <v>0</v>
      </c>
      <c r="O968" s="21">
        <v>0</v>
      </c>
      <c r="P968" s="21">
        <v>0</v>
      </c>
      <c r="Q968" s="21">
        <v>0</v>
      </c>
      <c r="R968" s="21">
        <v>0</v>
      </c>
      <c r="S968" s="21">
        <v>0</v>
      </c>
    </row>
    <row r="969" spans="1:19" x14ac:dyDescent="0.2">
      <c r="A969" s="13">
        <f t="shared" si="378"/>
        <v>969</v>
      </c>
      <c r="B969" s="4" t="s">
        <v>35</v>
      </c>
      <c r="C969" s="4" t="str">
        <f>(B580)</f>
        <v>ADMINISTRATIVE &amp; GENERAL EXPENSES</v>
      </c>
      <c r="D969" s="43"/>
      <c r="E969" s="44"/>
      <c r="F969" s="45"/>
      <c r="L969" s="21">
        <v>0</v>
      </c>
      <c r="M969" s="21">
        <v>0</v>
      </c>
      <c r="N969" s="21">
        <v>0</v>
      </c>
      <c r="O969" s="21">
        <v>0</v>
      </c>
      <c r="P969" s="21">
        <v>0</v>
      </c>
      <c r="Q969" s="21">
        <v>0</v>
      </c>
      <c r="R969" s="21">
        <v>0</v>
      </c>
      <c r="S969" s="21">
        <v>0</v>
      </c>
    </row>
    <row r="970" spans="1:19" x14ac:dyDescent="0.2">
      <c r="A970" s="13">
        <f t="shared" si="378"/>
        <v>970</v>
      </c>
      <c r="B970" s="4" t="str">
        <f>(B581)</f>
        <v>920 / ADMINISTRATIVE &amp; GENERAL SALARIES</v>
      </c>
      <c r="C970" s="25"/>
      <c r="D970" s="43" t="s">
        <v>5</v>
      </c>
      <c r="E970" s="44" t="str">
        <f>(E$1056)</f>
        <v>PTDCAS</v>
      </c>
      <c r="F970" s="45"/>
      <c r="G970" s="21">
        <f>IF($E$1149=1,($L970),IF($E$1149=2,($M970),IF($E$1149=3,($N970),IF($E$1149=4,($O970),IF($E$1149=5,($P970),IF($E$1149=6,($Q970),IF($E$1149=7,($R970),IF($E$1149=8,($S970),0))))))))</f>
        <v>49325728.020000003</v>
      </c>
      <c r="H970" s="48">
        <f>IF($G$1056&lt;&gt;0,($G970)*(H$1056/$G$1056),0)</f>
        <v>47166665.914973497</v>
      </c>
      <c r="I970" s="48">
        <f>IF($G$1056&lt;&gt;0,($G970)*(I$1056/$G$1056),0)</f>
        <v>2159062.1050265031</v>
      </c>
      <c r="J970" s="20">
        <f t="shared" ref="J970:J976" si="381">IF($E$1149=1,($G970),IF($E$1149=2,($G970),IF($E$1149=3,0,IF($E$1149=4,($H970),IF($E$1149=5,($I970),0)))))</f>
        <v>0</v>
      </c>
      <c r="L970" s="21">
        <v>49325728.020000003</v>
      </c>
      <c r="M970" s="21">
        <v>49325728.020000003</v>
      </c>
      <c r="N970" s="21">
        <v>49325728.020000003</v>
      </c>
      <c r="O970" s="21">
        <v>49325728.020000003</v>
      </c>
      <c r="P970" s="21">
        <v>49325728.020000003</v>
      </c>
      <c r="Q970" s="21">
        <v>49325728.020000003</v>
      </c>
      <c r="R970" s="21">
        <v>49325728.020000003</v>
      </c>
      <c r="S970" s="21">
        <v>49325728.020000003</v>
      </c>
    </row>
    <row r="971" spans="1:19" x14ac:dyDescent="0.2">
      <c r="A971" s="13">
        <f t="shared" si="378"/>
        <v>971</v>
      </c>
      <c r="B971" s="4" t="str">
        <f>(B582)</f>
        <v>921 / OFFICE SUPPLIES</v>
      </c>
      <c r="C971" s="25"/>
      <c r="D971" s="43" t="s">
        <v>5</v>
      </c>
      <c r="E971" s="44" t="str">
        <f>(E$1056)</f>
        <v>PTDCAS</v>
      </c>
      <c r="F971" s="45"/>
      <c r="G971" s="21">
        <f>IF($E$1149=1,($L971),IF($E$1149=2,($M971),IF($E$1149=3,($N971),IF($E$1149=4,($O971),IF($E$1149=5,($P971),IF($E$1149=6,($Q971),IF($E$1149=7,($R971),IF($E$1149=8,($S971),0))))))))</f>
        <v>286643.52</v>
      </c>
      <c r="H971" s="48">
        <f>IF($G$1056&lt;&gt;0,($G971)*(H$1056/$G$1056),0)</f>
        <v>274096.69734727667</v>
      </c>
      <c r="I971" s="48">
        <f>IF($G$1056&lt;&gt;0,($G971)*(I$1056/$G$1056),0)</f>
        <v>12546.822652723342</v>
      </c>
      <c r="J971" s="20">
        <f t="shared" si="381"/>
        <v>0</v>
      </c>
      <c r="L971" s="21">
        <v>286643.52</v>
      </c>
      <c r="M971" s="21">
        <v>286643.52</v>
      </c>
      <c r="N971" s="21">
        <v>286643.52</v>
      </c>
      <c r="O971" s="21">
        <v>286643.52</v>
      </c>
      <c r="P971" s="21">
        <v>286643.52</v>
      </c>
      <c r="Q971" s="21">
        <v>286643.52</v>
      </c>
      <c r="R971" s="21">
        <v>286643.52</v>
      </c>
      <c r="S971" s="21">
        <v>286643.52</v>
      </c>
    </row>
    <row r="972" spans="1:19" x14ac:dyDescent="0.2">
      <c r="A972" s="13">
        <f t="shared" si="378"/>
        <v>972</v>
      </c>
      <c r="B972" s="4" t="str">
        <f>(B583)</f>
        <v>922 / ADMIN &amp; GENERAL EXPENSES TRANSFERRED-CR</v>
      </c>
      <c r="C972" s="25"/>
      <c r="D972" s="43" t="s">
        <v>5</v>
      </c>
      <c r="E972" s="44" t="str">
        <f>(E$1060)</f>
        <v>SUBEX</v>
      </c>
      <c r="F972" s="45"/>
      <c r="G972" s="21">
        <f>IF($E$1149=1,($L972),IF($E$1149=2,($M972),IF($E$1149=3,($N972),IF($E$1149=4,($O972),IF($E$1149=5,($P972),IF($E$1149=6,($Q972),IF($E$1149=7,($R972),IF($E$1149=8,($S972),0))))))))</f>
        <v>0</v>
      </c>
      <c r="H972" s="48">
        <f>IF($G$1060&lt;&gt;0,($G972)*(H$1060/$G$1060),0)</f>
        <v>0</v>
      </c>
      <c r="I972" s="48">
        <f>IF($G$1060&lt;&gt;0,($G972)*(I$1060/$G$1060),0)</f>
        <v>0</v>
      </c>
      <c r="J972" s="20">
        <f t="shared" si="381"/>
        <v>0</v>
      </c>
      <c r="L972" s="21">
        <v>0</v>
      </c>
      <c r="M972" s="21">
        <v>0</v>
      </c>
      <c r="N972" s="21">
        <v>0</v>
      </c>
      <c r="O972" s="21">
        <v>0</v>
      </c>
      <c r="P972" s="21">
        <v>0</v>
      </c>
      <c r="Q972" s="21">
        <v>0</v>
      </c>
      <c r="R972" s="21">
        <v>0</v>
      </c>
      <c r="S972" s="21">
        <v>0</v>
      </c>
    </row>
    <row r="973" spans="1:19" x14ac:dyDescent="0.2">
      <c r="A973" s="13">
        <f t="shared" si="378"/>
        <v>973</v>
      </c>
      <c r="B973" s="4" t="str">
        <f>(B584)</f>
        <v>923 / OUTSIDE SERVICES</v>
      </c>
      <c r="C973" s="25"/>
      <c r="D973" s="43" t="s">
        <v>5</v>
      </c>
      <c r="E973" s="44" t="str">
        <f>(E$1056)</f>
        <v>PTDCAS</v>
      </c>
      <c r="F973" s="45"/>
      <c r="G973" s="21">
        <f>IF($E$1149=1,($L973),IF($E$1149=2,($M973),IF($E$1149=3,($N973),IF($E$1149=4,($O973),IF($E$1149=5,($P973),IF($E$1149=6,($Q973),IF($E$1149=7,($R973),IF($E$1149=8,($S973),0))))))))</f>
        <v>0</v>
      </c>
      <c r="H973" s="48">
        <f>IF($G$1056&lt;&gt;0,($G973)*(H$1056/$G$1056),0)</f>
        <v>0</v>
      </c>
      <c r="I973" s="48">
        <f>IF($G$1056&lt;&gt;0,($G973)*(I$1056/$G$1056),0)</f>
        <v>0</v>
      </c>
      <c r="J973" s="20">
        <f t="shared" si="381"/>
        <v>0</v>
      </c>
      <c r="L973" s="21">
        <v>0</v>
      </c>
      <c r="M973" s="21">
        <v>0</v>
      </c>
      <c r="N973" s="21">
        <v>0</v>
      </c>
      <c r="O973" s="21">
        <v>0</v>
      </c>
      <c r="P973" s="21">
        <v>0</v>
      </c>
      <c r="Q973" s="21">
        <v>0</v>
      </c>
      <c r="R973" s="21">
        <v>0</v>
      </c>
      <c r="S973" s="21">
        <v>0</v>
      </c>
    </row>
    <row r="974" spans="1:19" x14ac:dyDescent="0.2">
      <c r="A974" s="13">
        <f t="shared" si="378"/>
        <v>974</v>
      </c>
      <c r="B974" s="4" t="str">
        <f>(B585)</f>
        <v>924 / PROPERTY INSURANCE</v>
      </c>
      <c r="C974" s="25"/>
      <c r="D974" s="43"/>
      <c r="E974" s="44" t="s">
        <v>5</v>
      </c>
      <c r="F974" s="45"/>
      <c r="G974" s="21"/>
      <c r="J974" s="20">
        <f t="shared" si="381"/>
        <v>0</v>
      </c>
      <c r="L974" s="21">
        <v>0</v>
      </c>
      <c r="M974" s="21">
        <v>0</v>
      </c>
      <c r="N974" s="21">
        <v>0</v>
      </c>
      <c r="O974" s="21">
        <v>0</v>
      </c>
      <c r="P974" s="21">
        <v>0</v>
      </c>
      <c r="Q974" s="21">
        <v>0</v>
      </c>
      <c r="R974" s="21">
        <v>0</v>
      </c>
      <c r="S974" s="21">
        <v>0</v>
      </c>
    </row>
    <row r="975" spans="1:19" x14ac:dyDescent="0.2">
      <c r="A975" s="13">
        <f t="shared" si="378"/>
        <v>975</v>
      </c>
      <c r="B975" s="4" t="s">
        <v>35</v>
      </c>
      <c r="C975" s="4" t="str">
        <f>(B586)</f>
        <v xml:space="preserve">  PRODUCTION - STEAM</v>
      </c>
      <c r="D975" s="43"/>
      <c r="E975" s="44" t="s">
        <v>533</v>
      </c>
      <c r="F975" s="45"/>
      <c r="G975" s="21">
        <f>IF($E$1149=1,($L975),IF($E$1149=2,($M975),IF($E$1149=3,($N975),IF($E$1149=4,($O975),IF($E$1149=5,($P975),IF($E$1149=6,($Q975),IF($E$1149=7,($R975),IF($E$1149=8,($S975),0))))))))</f>
        <v>0</v>
      </c>
      <c r="H975" s="48">
        <f>IF($G$1057&lt;&gt;0,($G975)*(H$1057/$G$1057),0)</f>
        <v>0</v>
      </c>
      <c r="I975" s="48">
        <f>IF($G$1057&lt;&gt;0,($G975)*(I$1057/$G$1057),0)</f>
        <v>0</v>
      </c>
      <c r="J975" s="20">
        <f t="shared" si="381"/>
        <v>0</v>
      </c>
      <c r="L975" s="21">
        <v>0</v>
      </c>
      <c r="M975" s="21">
        <v>0</v>
      </c>
      <c r="N975" s="21">
        <v>0</v>
      </c>
      <c r="O975" s="21">
        <v>0</v>
      </c>
      <c r="P975" s="21">
        <v>0</v>
      </c>
      <c r="Q975" s="21">
        <v>0</v>
      </c>
      <c r="R975" s="21">
        <v>0</v>
      </c>
      <c r="S975" s="21">
        <v>0</v>
      </c>
    </row>
    <row r="976" spans="1:19" x14ac:dyDescent="0.2">
      <c r="A976" s="13">
        <f t="shared" si="378"/>
        <v>976</v>
      </c>
      <c r="B976" s="4" t="s">
        <v>35</v>
      </c>
      <c r="C976" s="4" t="str">
        <f>(B587)</f>
        <v xml:space="preserve">  ALL RISK &amp; MISCELLANEOUS</v>
      </c>
      <c r="D976" s="43"/>
      <c r="E976" s="44" t="s">
        <v>533</v>
      </c>
      <c r="F976" s="45"/>
      <c r="G976" s="21">
        <f>IF($E$1149=1,($L976),IF($E$1149=2,($M976),IF($E$1149=3,($N976),IF($E$1149=4,($O976),IF($E$1149=5,($P976),IF($E$1149=6,($Q976),IF($E$1149=7,($R976),IF($E$1149=8,($S976),0))))))))</f>
        <v>339224.37</v>
      </c>
      <c r="H976" s="48">
        <f>IF($G$1057&lt;&gt;0,($G976)*(H$1057/$G$1057),0)</f>
        <v>325445.56820045516</v>
      </c>
      <c r="I976" s="48">
        <f>IF($G$1057&lt;&gt;0,($G976)*(I$1057/$G$1057),0)</f>
        <v>13778.801799544768</v>
      </c>
      <c r="J976" s="20">
        <f t="shared" si="381"/>
        <v>0</v>
      </c>
      <c r="L976" s="21">
        <v>339224.37</v>
      </c>
      <c r="M976" s="21">
        <v>339224.37</v>
      </c>
      <c r="N976" s="21">
        <v>339224.37</v>
      </c>
      <c r="O976" s="21">
        <v>339224.37</v>
      </c>
      <c r="P976" s="21">
        <v>339224.37</v>
      </c>
      <c r="Q976" s="21">
        <v>339224.37</v>
      </c>
      <c r="R976" s="21">
        <v>339224.37</v>
      </c>
      <c r="S976" s="21">
        <v>339224.37</v>
      </c>
    </row>
    <row r="977" spans="1:19" x14ac:dyDescent="0.2">
      <c r="A977" s="13">
        <f t="shared" si="378"/>
        <v>977</v>
      </c>
      <c r="B977" s="4" t="s">
        <v>35</v>
      </c>
      <c r="C977" s="4" t="str">
        <f>(C588)</f>
        <v>TOTAL ACCOUNT 924</v>
      </c>
      <c r="D977" s="43"/>
      <c r="E977" s="44"/>
      <c r="F977" s="45"/>
      <c r="L977" s="21">
        <v>0</v>
      </c>
      <c r="M977" s="21">
        <v>0</v>
      </c>
      <c r="N977" s="21">
        <v>0</v>
      </c>
      <c r="O977" s="21">
        <v>0</v>
      </c>
      <c r="P977" s="21">
        <v>0</v>
      </c>
      <c r="Q977" s="21">
        <v>0</v>
      </c>
      <c r="R977" s="21">
        <v>0</v>
      </c>
      <c r="S977" s="21">
        <v>0</v>
      </c>
    </row>
    <row r="978" spans="1:19" x14ac:dyDescent="0.2">
      <c r="A978" s="13">
        <f t="shared" si="378"/>
        <v>978</v>
      </c>
      <c r="B978" s="4" t="s">
        <v>35</v>
      </c>
      <c r="C978" s="4" t="s">
        <v>35</v>
      </c>
      <c r="D978" s="43"/>
      <c r="E978" s="44"/>
      <c r="F978" s="45"/>
      <c r="L978" s="21">
        <v>0</v>
      </c>
      <c r="M978" s="21">
        <v>0</v>
      </c>
      <c r="N978" s="21">
        <v>0</v>
      </c>
      <c r="O978" s="21">
        <v>0</v>
      </c>
      <c r="P978" s="21">
        <v>0</v>
      </c>
      <c r="Q978" s="21">
        <v>0</v>
      </c>
      <c r="R978" s="21">
        <v>0</v>
      </c>
      <c r="S978" s="21">
        <v>0</v>
      </c>
    </row>
    <row r="979" spans="1:19" x14ac:dyDescent="0.2">
      <c r="A979" s="13">
        <f t="shared" si="378"/>
        <v>979</v>
      </c>
      <c r="B979" s="4" t="str">
        <f>(B590)</f>
        <v>925 / INJURIES &amp; DAMAGES</v>
      </c>
      <c r="C979" s="25"/>
      <c r="D979" s="43" t="s">
        <v>5</v>
      </c>
      <c r="E979" s="44" t="str">
        <f>(E$1062)</f>
        <v>LABOR</v>
      </c>
      <c r="F979" s="45"/>
      <c r="G979" s="21">
        <f>IF($E$1149=1,($L979),IF($E$1149=2,($M979),IF($E$1149=3,($N979),IF($E$1149=4,($O979),IF($E$1149=5,($P979),IF($E$1149=6,($Q979),IF($E$1149=7,($R979),IF($E$1149=8,($S979),0))))))))</f>
        <v>104930.36</v>
      </c>
      <c r="H979" s="48">
        <f>IF($G$1062&lt;&gt;0,($G979)*(H$1062/$G$1062),0)</f>
        <v>100339.6718691073</v>
      </c>
      <c r="I979" s="48">
        <f>IF($G$1062&lt;&gt;0,($G979)*(I$1062/$G$1062),0)</f>
        <v>4590.6881308926941</v>
      </c>
      <c r="J979" s="20">
        <f t="shared" ref="J979:J989" si="382">IF($E$1149=1,($G979),IF($E$1149=2,($G979),IF($E$1149=3,0,IF($E$1149=4,($H979),IF($E$1149=5,($I979),0)))))</f>
        <v>0</v>
      </c>
      <c r="L979" s="21">
        <v>104930.36</v>
      </c>
      <c r="M979" s="21">
        <v>104930.36</v>
      </c>
      <c r="N979" s="21">
        <v>104930.36</v>
      </c>
      <c r="O979" s="21">
        <v>104930.36</v>
      </c>
      <c r="P979" s="21">
        <v>104930.36</v>
      </c>
      <c r="Q979" s="21">
        <v>104930.36</v>
      </c>
      <c r="R979" s="21">
        <v>104930.36</v>
      </c>
      <c r="S979" s="21">
        <v>104930.36</v>
      </c>
    </row>
    <row r="980" spans="1:19" x14ac:dyDescent="0.2">
      <c r="A980" s="13">
        <f t="shared" si="378"/>
        <v>980</v>
      </c>
      <c r="B980" s="4" t="str">
        <f>(B591)</f>
        <v>926 / EMPLOYEE PENSIONS &amp; BENEFITS</v>
      </c>
      <c r="C980" s="25"/>
      <c r="D980" s="43" t="s">
        <v>5</v>
      </c>
      <c r="E980" s="44" t="str">
        <f>(E$1062)</f>
        <v>LABOR</v>
      </c>
      <c r="F980" s="45"/>
      <c r="G980" s="21">
        <f>IF($E$1149=1,($L980),IF($E$1149=2,($M980),IF($E$1149=3,($N980),IF($E$1149=4,($O980),IF($E$1149=5,($P980),IF($E$1149=6,($Q980),IF($E$1149=7,($R980),IF($E$1149=8,($S980),0))))))))</f>
        <v>0</v>
      </c>
      <c r="H980" s="48">
        <f>IF($G$1062&lt;&gt;0,($G980)*(H$1062/$G$1062),0)</f>
        <v>0</v>
      </c>
      <c r="I980" s="48">
        <f>IF($G$1062&lt;&gt;0,($G980)*(I$1062/$G$1062),0)</f>
        <v>0</v>
      </c>
      <c r="J980" s="20">
        <f t="shared" si="382"/>
        <v>0</v>
      </c>
      <c r="L980" s="21">
        <v>0</v>
      </c>
      <c r="M980" s="21">
        <v>0</v>
      </c>
      <c r="N980" s="21">
        <v>0</v>
      </c>
      <c r="O980" s="21">
        <v>0</v>
      </c>
      <c r="P980" s="21">
        <v>0</v>
      </c>
      <c r="Q980" s="21">
        <v>0</v>
      </c>
      <c r="R980" s="21">
        <v>0</v>
      </c>
      <c r="S980" s="21">
        <v>0</v>
      </c>
    </row>
    <row r="981" spans="1:19" x14ac:dyDescent="0.2">
      <c r="A981" s="13">
        <f t="shared" si="378"/>
        <v>981</v>
      </c>
      <c r="B981" s="4" t="str">
        <f>(B595)</f>
        <v>927 / FRANCHISE REQUIREMENTS</v>
      </c>
      <c r="C981" s="25"/>
      <c r="D981" s="43" t="s">
        <v>5</v>
      </c>
      <c r="E981" s="44" t="str">
        <f>(E$1049)</f>
        <v>CIDA</v>
      </c>
      <c r="F981" s="45"/>
      <c r="G981" s="21">
        <f>IF($E$1149=1,($L981),IF($E$1149=2,($M981),IF($E$1149=3,($N981),IF($E$1149=4,($O981),IF($E$1149=5,($P981),IF($E$1149=6,($Q981),IF($E$1149=7,($R981),IF($E$1149=8,($S981),0))))))))</f>
        <v>0</v>
      </c>
      <c r="H981" s="48">
        <f>IF($G$1049&lt;&gt;0,($G981)*(H$1049/$G$1049),0)</f>
        <v>0</v>
      </c>
      <c r="I981" s="48">
        <f>IF($G$1049&lt;&gt;0,($G981)*(I$1049/$G$1049),0)</f>
        <v>0</v>
      </c>
      <c r="J981" s="20">
        <f t="shared" si="382"/>
        <v>0</v>
      </c>
      <c r="L981" s="21">
        <v>0</v>
      </c>
      <c r="M981" s="21">
        <v>0</v>
      </c>
      <c r="N981" s="21">
        <v>0</v>
      </c>
      <c r="O981" s="21">
        <v>0</v>
      </c>
      <c r="P981" s="21">
        <v>0</v>
      </c>
      <c r="Q981" s="21">
        <v>0</v>
      </c>
      <c r="R981" s="21">
        <v>0</v>
      </c>
      <c r="S981" s="21">
        <v>0</v>
      </c>
    </row>
    <row r="982" spans="1:19" x14ac:dyDescent="0.2">
      <c r="A982" s="13">
        <f t="shared" si="378"/>
        <v>982</v>
      </c>
      <c r="B982" s="4" t="str">
        <f>(B596)</f>
        <v>928 / REGULATORY COMMISSION EXPENSES</v>
      </c>
      <c r="C982" s="25"/>
      <c r="D982" s="43" t="s">
        <v>5</v>
      </c>
      <c r="E982" s="44" t="s">
        <v>5</v>
      </c>
      <c r="F982" s="45"/>
      <c r="J982" s="20">
        <f t="shared" si="382"/>
        <v>0</v>
      </c>
      <c r="L982" s="21">
        <v>0</v>
      </c>
      <c r="M982" s="21">
        <v>0</v>
      </c>
      <c r="N982" s="21">
        <v>0</v>
      </c>
      <c r="O982" s="21">
        <v>0</v>
      </c>
      <c r="P982" s="21">
        <v>0</v>
      </c>
      <c r="Q982" s="21">
        <v>0</v>
      </c>
      <c r="R982" s="21">
        <v>0</v>
      </c>
      <c r="S982" s="21">
        <v>0</v>
      </c>
    </row>
    <row r="983" spans="1:19" x14ac:dyDescent="0.2">
      <c r="A983" s="13">
        <f t="shared" si="378"/>
        <v>983</v>
      </c>
      <c r="B983" s="4" t="s">
        <v>35</v>
      </c>
      <c r="C983" s="4" t="str">
        <f>"  FERC ADMIN ASSESSMENTS"</f>
        <v xml:space="preserve">  FERC ADMIN ASSESSMENTS</v>
      </c>
      <c r="D983" s="43" t="s">
        <v>508</v>
      </c>
      <c r="E983" s="44">
        <f>A178</f>
        <v>178</v>
      </c>
      <c r="F983" s="45"/>
      <c r="G983" s="21">
        <f t="shared" ref="G983:G989" si="383">IF($E$1149=1,($L983),IF($E$1149=2,($M983),IF($E$1149=3,($N983),IF($E$1149=4,($O983),IF($E$1149=5,($P983),IF($E$1149=6,($Q983),IF($E$1149=7,($R983),IF($E$1149=8,($S983),0))))))))</f>
        <v>0</v>
      </c>
      <c r="H983" s="48">
        <f t="shared" ref="H983:I983" si="384">IF($G$178&lt;&gt;0,($G983)*(H$178/$G$178),0)</f>
        <v>0</v>
      </c>
      <c r="I983" s="48">
        <f t="shared" si="384"/>
        <v>0</v>
      </c>
      <c r="J983" s="20">
        <f t="shared" si="382"/>
        <v>0</v>
      </c>
      <c r="L983" s="21">
        <v>0</v>
      </c>
      <c r="M983" s="21">
        <v>0</v>
      </c>
      <c r="N983" s="21">
        <v>0</v>
      </c>
      <c r="O983" s="21">
        <v>0</v>
      </c>
      <c r="P983" s="21">
        <v>0</v>
      </c>
      <c r="Q983" s="21">
        <v>0</v>
      </c>
      <c r="R983" s="21">
        <v>0</v>
      </c>
      <c r="S983" s="21">
        <v>0</v>
      </c>
    </row>
    <row r="984" spans="1:19" x14ac:dyDescent="0.2">
      <c r="A984" s="13">
        <f t="shared" si="378"/>
        <v>984</v>
      </c>
      <c r="B984" s="4" t="s">
        <v>35</v>
      </c>
      <c r="C984" s="4" t="str">
        <f>"  FERC RATE CASE EXPENSE"</f>
        <v xml:space="preserve">  FERC RATE CASE EXPENSE</v>
      </c>
      <c r="D984" s="43"/>
      <c r="E984" s="44" t="str">
        <f>(E$1045)</f>
        <v>RESREV</v>
      </c>
      <c r="F984" s="45"/>
      <c r="G984" s="21">
        <f t="shared" si="383"/>
        <v>0</v>
      </c>
      <c r="H984" s="48">
        <f>IF($G$1045&lt;&gt;0,($G984)*(H$1045/$G$1045),0)</f>
        <v>0</v>
      </c>
      <c r="I984" s="48">
        <f>IF($G$1045&lt;&gt;0,($G984)*(I$1045/$G$1045),0)</f>
        <v>0</v>
      </c>
      <c r="J984" s="20">
        <f t="shared" si="382"/>
        <v>0</v>
      </c>
      <c r="L984" s="21">
        <v>0</v>
      </c>
      <c r="M984" s="21">
        <v>0</v>
      </c>
      <c r="N984" s="21">
        <v>0</v>
      </c>
      <c r="O984" s="21">
        <v>0</v>
      </c>
      <c r="P984" s="21">
        <v>0</v>
      </c>
      <c r="Q984" s="21">
        <v>0</v>
      </c>
      <c r="R984" s="21">
        <v>0</v>
      </c>
      <c r="S984" s="21">
        <v>0</v>
      </c>
    </row>
    <row r="985" spans="1:19" x14ac:dyDescent="0.2">
      <c r="A985" s="13">
        <f t="shared" si="378"/>
        <v>985</v>
      </c>
      <c r="B985" s="4" t="s">
        <v>35</v>
      </c>
      <c r="C985" s="4" t="str">
        <f>"  SEC EXPENSES"</f>
        <v xml:space="preserve">  SEC EXPENSES</v>
      </c>
      <c r="D985" s="43" t="s">
        <v>508</v>
      </c>
      <c r="E985" s="44">
        <f>A178</f>
        <v>178</v>
      </c>
      <c r="F985" s="45"/>
      <c r="G985" s="21">
        <f t="shared" si="383"/>
        <v>0</v>
      </c>
      <c r="H985" s="48">
        <f t="shared" ref="H985:I985" si="385">IF($G$178&lt;&gt;0,($G985)*(H$178/$G$178),0)</f>
        <v>0</v>
      </c>
      <c r="I985" s="48">
        <f t="shared" si="385"/>
        <v>0</v>
      </c>
      <c r="J985" s="20">
        <f t="shared" si="382"/>
        <v>0</v>
      </c>
      <c r="L985" s="21">
        <v>0</v>
      </c>
      <c r="M985" s="21">
        <v>0</v>
      </c>
      <c r="N985" s="21">
        <v>0</v>
      </c>
      <c r="O985" s="21">
        <v>0</v>
      </c>
      <c r="P985" s="21">
        <v>0</v>
      </c>
      <c r="Q985" s="21">
        <v>0</v>
      </c>
      <c r="R985" s="21">
        <v>0</v>
      </c>
      <c r="S985" s="21">
        <v>0</v>
      </c>
    </row>
    <row r="986" spans="1:19" x14ac:dyDescent="0.2">
      <c r="A986" s="13">
        <f t="shared" si="378"/>
        <v>986</v>
      </c>
      <c r="B986" s="4" t="s">
        <v>35</v>
      </c>
      <c r="C986" s="4" t="str">
        <f>"  IDAHO PUC - RATE CASE"</f>
        <v xml:space="preserve">  IDAHO PUC - RATE CASE</v>
      </c>
      <c r="D986" s="43"/>
      <c r="E986" s="44" t="str">
        <f>(E$1049)</f>
        <v>CIDA</v>
      </c>
      <c r="F986" s="45"/>
      <c r="G986" s="21">
        <f t="shared" si="383"/>
        <v>0</v>
      </c>
      <c r="H986" s="48">
        <f>IF($G$1049&lt;&gt;0,($G986)*(H$1049/$G$1049),0)</f>
        <v>0</v>
      </c>
      <c r="I986" s="48">
        <f>IF($G$1049&lt;&gt;0,($G986)*(I$1049/$G$1049),0)</f>
        <v>0</v>
      </c>
      <c r="J986" s="20">
        <f t="shared" si="382"/>
        <v>0</v>
      </c>
      <c r="L986" s="21">
        <v>0</v>
      </c>
      <c r="M986" s="21">
        <v>0</v>
      </c>
      <c r="N986" s="21">
        <v>0</v>
      </c>
      <c r="O986" s="21">
        <v>0</v>
      </c>
      <c r="P986" s="21">
        <v>0</v>
      </c>
      <c r="Q986" s="21">
        <v>0</v>
      </c>
      <c r="R986" s="21">
        <v>0</v>
      </c>
      <c r="S986" s="21">
        <v>0</v>
      </c>
    </row>
    <row r="987" spans="1:19" x14ac:dyDescent="0.2">
      <c r="A987" s="13">
        <f t="shared" si="378"/>
        <v>987</v>
      </c>
      <c r="B987" s="4" t="s">
        <v>35</v>
      </c>
      <c r="C987" s="4" t="str">
        <f>"                       -  OTHER"</f>
        <v xml:space="preserve">                       -  OTHER</v>
      </c>
      <c r="D987" s="43"/>
      <c r="E987" s="44" t="str">
        <f>(E$1049)</f>
        <v>CIDA</v>
      </c>
      <c r="F987" s="45"/>
      <c r="G987" s="21">
        <f t="shared" si="383"/>
        <v>0</v>
      </c>
      <c r="H987" s="48">
        <f>IF($G$1049&lt;&gt;0,($G987)*(H$1049/$G$1049),0)</f>
        <v>0</v>
      </c>
      <c r="I987" s="48">
        <f>IF($G$1049&lt;&gt;0,($G987)*(I$1049/$G$1049),0)</f>
        <v>0</v>
      </c>
      <c r="J987" s="20">
        <f t="shared" si="382"/>
        <v>0</v>
      </c>
      <c r="L987" s="21">
        <v>0</v>
      </c>
      <c r="M987" s="21">
        <v>0</v>
      </c>
      <c r="N987" s="21">
        <v>0</v>
      </c>
      <c r="O987" s="21">
        <v>0</v>
      </c>
      <c r="P987" s="21">
        <v>0</v>
      </c>
      <c r="Q987" s="21">
        <v>0</v>
      </c>
      <c r="R987" s="21">
        <v>0</v>
      </c>
      <c r="S987" s="21">
        <v>0</v>
      </c>
    </row>
    <row r="988" spans="1:19" x14ac:dyDescent="0.2">
      <c r="A988" s="13">
        <f t="shared" si="378"/>
        <v>988</v>
      </c>
      <c r="B988" s="4" t="s">
        <v>35</v>
      </c>
      <c r="C988" s="4" t="str">
        <f>"  OREGON PUC - RATE CASE"</f>
        <v xml:space="preserve">  OREGON PUC - RATE CASE</v>
      </c>
      <c r="D988" s="43"/>
      <c r="E988" s="44" t="str">
        <f>E$1050</f>
        <v>CODA</v>
      </c>
      <c r="F988" s="45"/>
      <c r="G988" s="21">
        <f t="shared" si="383"/>
        <v>0</v>
      </c>
      <c r="H988" s="48">
        <f>IF($G$1050&lt;&gt;0,($G988)*(H$1050/$G$1050),0)</f>
        <v>0</v>
      </c>
      <c r="I988" s="48">
        <f>IF($G$1050&lt;&gt;0,($G988)*(I$1050/$G$1050),0)</f>
        <v>0</v>
      </c>
      <c r="J988" s="20">
        <f t="shared" si="382"/>
        <v>0</v>
      </c>
      <c r="L988" s="21">
        <v>0</v>
      </c>
      <c r="M988" s="21">
        <v>0</v>
      </c>
      <c r="N988" s="21">
        <v>0</v>
      </c>
      <c r="O988" s="21">
        <v>0</v>
      </c>
      <c r="P988" s="21">
        <v>0</v>
      </c>
      <c r="Q988" s="21">
        <v>0</v>
      </c>
      <c r="R988" s="21">
        <v>0</v>
      </c>
      <c r="S988" s="21">
        <v>0</v>
      </c>
    </row>
    <row r="989" spans="1:19" x14ac:dyDescent="0.2">
      <c r="A989" s="13">
        <f t="shared" si="378"/>
        <v>989</v>
      </c>
      <c r="B989" s="4" t="s">
        <v>35</v>
      </c>
      <c r="C989" s="4" t="str">
        <f>"                      -OTHER"</f>
        <v xml:space="preserve">                      -OTHER</v>
      </c>
      <c r="D989" s="43"/>
      <c r="E989" s="44" t="str">
        <f>E$1050</f>
        <v>CODA</v>
      </c>
      <c r="F989" s="45"/>
      <c r="G989" s="21">
        <f t="shared" si="383"/>
        <v>0</v>
      </c>
      <c r="H989" s="48">
        <f>IF($G$1049&lt;&gt;0,($G989)*(H$1049/$G$1049),0)</f>
        <v>0</v>
      </c>
      <c r="I989" s="48">
        <f>IF($G$1050&lt;&gt;0,($G989)*(I$1050/$G$1050),0)</f>
        <v>0</v>
      </c>
      <c r="J989" s="20">
        <f t="shared" si="382"/>
        <v>0</v>
      </c>
      <c r="L989" s="21">
        <v>0</v>
      </c>
      <c r="M989" s="21">
        <v>0</v>
      </c>
      <c r="N989" s="21">
        <v>0</v>
      </c>
      <c r="O989" s="21">
        <v>0</v>
      </c>
      <c r="P989" s="21">
        <v>0</v>
      </c>
      <c r="Q989" s="21">
        <v>0</v>
      </c>
      <c r="R989" s="21">
        <v>0</v>
      </c>
      <c r="S989" s="21">
        <v>0</v>
      </c>
    </row>
    <row r="990" spans="1:19" x14ac:dyDescent="0.2">
      <c r="A990" s="13">
        <f t="shared" si="378"/>
        <v>990</v>
      </c>
      <c r="B990" s="4" t="s">
        <v>35</v>
      </c>
      <c r="C990" s="4" t="str">
        <f>"  TOTAL ACCOUNT 928"</f>
        <v xml:space="preserve">  TOTAL ACCOUNT 928</v>
      </c>
      <c r="D990" s="43"/>
      <c r="E990" s="44"/>
      <c r="F990" s="45"/>
      <c r="G990" s="46"/>
      <c r="H990" s="46"/>
      <c r="I990" s="46"/>
      <c r="J990" s="46"/>
      <c r="L990" s="21">
        <v>0</v>
      </c>
      <c r="M990" s="21">
        <v>0</v>
      </c>
      <c r="N990" s="21">
        <v>0</v>
      </c>
      <c r="O990" s="21">
        <v>0</v>
      </c>
      <c r="P990" s="21">
        <v>0</v>
      </c>
      <c r="Q990" s="21">
        <v>0</v>
      </c>
      <c r="R990" s="21">
        <v>0</v>
      </c>
      <c r="S990" s="21">
        <v>0</v>
      </c>
    </row>
    <row r="991" spans="1:19" x14ac:dyDescent="0.2">
      <c r="A991" s="13">
        <f t="shared" si="378"/>
        <v>991</v>
      </c>
      <c r="B991" s="4" t="s">
        <v>35</v>
      </c>
      <c r="C991" s="4" t="s">
        <v>35</v>
      </c>
      <c r="D991" s="43"/>
      <c r="E991" s="44"/>
      <c r="F991" s="45"/>
      <c r="L991" s="21">
        <v>0</v>
      </c>
      <c r="M991" s="21">
        <v>0</v>
      </c>
      <c r="N991" s="21">
        <v>0</v>
      </c>
      <c r="O991" s="21">
        <v>0</v>
      </c>
      <c r="P991" s="21">
        <v>0</v>
      </c>
      <c r="Q991" s="21">
        <v>0</v>
      </c>
      <c r="R991" s="21">
        <v>0</v>
      </c>
      <c r="S991" s="21">
        <v>0</v>
      </c>
    </row>
    <row r="992" spans="1:19" x14ac:dyDescent="0.2">
      <c r="A992" s="13">
        <f t="shared" si="378"/>
        <v>992</v>
      </c>
      <c r="B992" s="4" t="str">
        <f>(B611)</f>
        <v>929 / DUPLICATE CHARGES</v>
      </c>
      <c r="C992" s="25"/>
      <c r="D992" s="43" t="s">
        <v>5</v>
      </c>
      <c r="E992" s="44" t="str">
        <f>(E$1060)</f>
        <v>SUBEX</v>
      </c>
      <c r="F992" s="45"/>
      <c r="G992" s="21">
        <f>IF($E$1149=1,($L992),IF($E$1149=2,($M992),IF($E$1149=3,($N992),IF($E$1149=4,($O992),IF($E$1149=5,($P992),IF($E$1149=6,($Q992),IF($E$1149=7,($R992),IF($E$1149=8,($S992),0))))))))</f>
        <v>0</v>
      </c>
      <c r="H992" s="48">
        <f>IF($G$1060&lt;&gt;0,($G992)*(H$1060/$G$1060),0)</f>
        <v>0</v>
      </c>
      <c r="I992" s="48">
        <f>IF($G$1060&lt;&gt;0,($G992)*(I$1060/$G$1060),0)</f>
        <v>0</v>
      </c>
      <c r="J992" s="20">
        <f t="shared" ref="J992:J1000" si="386">IF($E$1149=1,($G992),IF($E$1149=2,($G992),IF($E$1149=3,0,IF($E$1149=4,($H992),IF($E$1149=5,($I992),0)))))</f>
        <v>0</v>
      </c>
      <c r="L992" s="21">
        <v>0</v>
      </c>
      <c r="M992" s="21">
        <v>0</v>
      </c>
      <c r="N992" s="21">
        <v>0</v>
      </c>
      <c r="O992" s="21">
        <v>0</v>
      </c>
      <c r="P992" s="21">
        <v>0</v>
      </c>
      <c r="Q992" s="21">
        <v>0</v>
      </c>
      <c r="R992" s="21">
        <v>0</v>
      </c>
      <c r="S992" s="21">
        <v>0</v>
      </c>
    </row>
    <row r="993" spans="1:19" x14ac:dyDescent="0.2">
      <c r="A993" s="13">
        <f t="shared" si="378"/>
        <v>993</v>
      </c>
      <c r="B993" s="4" t="str">
        <f>(B612)</f>
        <v>930.1 / GENERAL ADVERTISING</v>
      </c>
      <c r="C993" s="25"/>
      <c r="D993" s="43" t="s">
        <v>5</v>
      </c>
      <c r="E993" s="44" t="str">
        <f>(E$1061)</f>
        <v>RELAB</v>
      </c>
      <c r="F993" s="45"/>
      <c r="G993" s="21">
        <f>IF($E$1149=1,($L993),IF($E$1149=2,($M993),IF($E$1149=3,($N993),IF($E$1149=4,($O993),IF($E$1149=5,($P993),IF($E$1149=6,($Q993),IF($E$1149=7,($R993),IF($E$1149=8,($S993),0))))))))</f>
        <v>0</v>
      </c>
      <c r="H993" s="48">
        <f>IF($G$1061&lt;&gt;0,($G993)*(H$1061/$G$1061),0)</f>
        <v>0</v>
      </c>
      <c r="I993" s="48">
        <f>IF($G$1061&lt;&gt;0,($G993)*(I$1061/$G$1061),0)</f>
        <v>0</v>
      </c>
      <c r="J993" s="20">
        <f t="shared" si="386"/>
        <v>0</v>
      </c>
      <c r="L993" s="21">
        <v>0</v>
      </c>
      <c r="M993" s="21">
        <v>0</v>
      </c>
      <c r="N993" s="21">
        <v>0</v>
      </c>
      <c r="O993" s="21">
        <v>0</v>
      </c>
      <c r="P993" s="21">
        <v>0</v>
      </c>
      <c r="Q993" s="21">
        <v>0</v>
      </c>
      <c r="R993" s="21">
        <v>0</v>
      </c>
      <c r="S993" s="21">
        <v>0</v>
      </c>
    </row>
    <row r="994" spans="1:19" x14ac:dyDescent="0.2">
      <c r="A994" s="13">
        <f t="shared" si="378"/>
        <v>994</v>
      </c>
      <c r="B994" s="4" t="str">
        <f>(B613)</f>
        <v>930.2 / MISCELLANEOUS EXPENSES</v>
      </c>
      <c r="C994" s="25"/>
      <c r="D994" s="43" t="s">
        <v>5</v>
      </c>
      <c r="E994" s="44" t="str">
        <f>(E$1056)</f>
        <v>PTDCAS</v>
      </c>
      <c r="F994" s="45"/>
      <c r="G994" s="21">
        <f>IF($E$1149=1,($L994),IF($E$1149=2,($M994),IF($E$1149=3,($N994),IF($E$1149=4,($O994),IF($E$1149=5,($P994),IF($E$1149=6,($Q994),IF($E$1149=7,($R994),IF($E$1149=8,($S994),0))))))))</f>
        <v>170764.35</v>
      </c>
      <c r="H994" s="48">
        <f>IF($G$1056&lt;&gt;0,($G994)*(H$1056/$G$1056),0)</f>
        <v>163289.73478854302</v>
      </c>
      <c r="I994" s="48">
        <f>IF($G$1056&lt;&gt;0,($G994)*(I$1056/$G$1056),0)</f>
        <v>7474.615211456995</v>
      </c>
      <c r="J994" s="20">
        <f t="shared" si="386"/>
        <v>0</v>
      </c>
      <c r="L994" s="21">
        <v>170764.35</v>
      </c>
      <c r="M994" s="21">
        <v>170764.35</v>
      </c>
      <c r="N994" s="21">
        <v>170764.35</v>
      </c>
      <c r="O994" s="21">
        <v>170764.35</v>
      </c>
      <c r="P994" s="21">
        <v>170764.35</v>
      </c>
      <c r="Q994" s="21">
        <v>170764.35</v>
      </c>
      <c r="R994" s="21">
        <v>170764.35</v>
      </c>
      <c r="S994" s="21">
        <v>170764.35</v>
      </c>
    </row>
    <row r="995" spans="1:19" x14ac:dyDescent="0.2">
      <c r="A995" s="13">
        <f t="shared" si="378"/>
        <v>995</v>
      </c>
      <c r="B995" s="4" t="str">
        <f>(B614)</f>
        <v>931 / RENTS</v>
      </c>
      <c r="C995" s="25"/>
      <c r="D995" s="43" t="s">
        <v>508</v>
      </c>
      <c r="E995" s="44">
        <f>A176</f>
        <v>176</v>
      </c>
      <c r="F995" s="45"/>
      <c r="G995" s="21">
        <f>IF($E$1149=1,($L995),IF($E$1149=2,($M995),IF($E$1149=3,($N995),IF($E$1149=4,($O995),IF($E$1149=5,($P995),IF($E$1149=6,($Q995),IF($E$1149=7,($R995),IF($E$1149=8,($S995),0))))))))</f>
        <v>0</v>
      </c>
      <c r="H995" s="48">
        <f t="shared" ref="H995:I995" si="387">IF(SUM($G$176)&lt;&gt;0,($G995)*(SUM(H$165:H$174)/SUM($G$176)),0)</f>
        <v>0</v>
      </c>
      <c r="I995" s="48">
        <f t="shared" si="387"/>
        <v>0</v>
      </c>
      <c r="J995" s="20">
        <f t="shared" si="386"/>
        <v>0</v>
      </c>
      <c r="L995" s="21">
        <v>0</v>
      </c>
      <c r="M995" s="21">
        <v>0</v>
      </c>
      <c r="N995" s="21">
        <v>0</v>
      </c>
      <c r="O995" s="21">
        <v>0</v>
      </c>
      <c r="P995" s="21">
        <v>0</v>
      </c>
      <c r="Q995" s="21">
        <v>0</v>
      </c>
      <c r="R995" s="21">
        <v>0</v>
      </c>
      <c r="S995" s="21">
        <v>0</v>
      </c>
    </row>
    <row r="996" spans="1:19" x14ac:dyDescent="0.2">
      <c r="A996" s="13">
        <f t="shared" si="378"/>
        <v>996</v>
      </c>
      <c r="B996" s="4" t="str">
        <f>(B617)</f>
        <v>935 / GENERAL PLANT MAINTENANCE</v>
      </c>
      <c r="C996" s="25"/>
      <c r="D996" s="43" t="s">
        <v>5</v>
      </c>
      <c r="E996" s="44" t="str">
        <f>(E$1058)</f>
        <v>P3908</v>
      </c>
      <c r="F996" s="45"/>
      <c r="G996" s="21">
        <f>IF($E$1149=1,($L996),IF($E$1149=2,($M996),IF($E$1149=3,($N996),IF($E$1149=4,($O996),IF($E$1149=5,($P996),IF($E$1149=6,($Q996),IF($E$1149=7,($R996),IF($E$1149=8,($S996),0))))))))</f>
        <v>990663.43</v>
      </c>
      <c r="H996" s="48">
        <f>IF($G$1058&lt;&gt;0,($G996)*(H$1058/$G$1058),0)</f>
        <v>950265.19285712903</v>
      </c>
      <c r="I996" s="48">
        <f>IF($G$1058&lt;&gt;0,($G996)*(I$1058/$G$1058),0)</f>
        <v>40398.23714287101</v>
      </c>
      <c r="J996" s="20">
        <f t="shared" si="386"/>
        <v>0</v>
      </c>
      <c r="L996" s="21">
        <v>990663.43</v>
      </c>
      <c r="M996" s="21">
        <v>990663.43</v>
      </c>
      <c r="N996" s="21">
        <v>990663.43</v>
      </c>
      <c r="O996" s="21">
        <v>990663.43</v>
      </c>
      <c r="P996" s="21">
        <v>990663.43</v>
      </c>
      <c r="Q996" s="21">
        <v>990663.43</v>
      </c>
      <c r="R996" s="21">
        <v>990663.43</v>
      </c>
      <c r="S996" s="21">
        <v>990663.43</v>
      </c>
    </row>
    <row r="997" spans="1:19" x14ac:dyDescent="0.2">
      <c r="A997" s="13">
        <f t="shared" si="378"/>
        <v>997</v>
      </c>
      <c r="B997" s="4" t="str">
        <f>(B618)</f>
        <v/>
      </c>
      <c r="C997" s="4" t="str">
        <f>(C618)</f>
        <v>TOTAL ADMIN &amp; GENERAL EXPENSES</v>
      </c>
      <c r="D997" s="43" t="s">
        <v>5</v>
      </c>
      <c r="E997" s="44" t="s">
        <v>5</v>
      </c>
      <c r="F997" s="45"/>
      <c r="G997" s="46">
        <f>SUM(G970:G996)</f>
        <v>51217954.050000004</v>
      </c>
      <c r="H997" s="46">
        <f>SUM(H970:H996)</f>
        <v>48980102.78003601</v>
      </c>
      <c r="I997" s="46">
        <f>SUM(I970:I996)</f>
        <v>2237851.2699639918</v>
      </c>
      <c r="J997" s="20">
        <f t="shared" si="386"/>
        <v>0</v>
      </c>
      <c r="L997" s="21">
        <v>0</v>
      </c>
    </row>
    <row r="998" spans="1:19" x14ac:dyDescent="0.2">
      <c r="A998" s="13">
        <f t="shared" si="378"/>
        <v>998</v>
      </c>
      <c r="B998" s="4" t="str">
        <f>(B621)</f>
        <v/>
      </c>
      <c r="C998" s="4" t="str">
        <f>(C621)</f>
        <v>TOTAL OPER &amp; MAINT EXPENSES</v>
      </c>
      <c r="D998" s="43" t="s">
        <v>5</v>
      </c>
      <c r="E998" s="44" t="s">
        <v>5</v>
      </c>
      <c r="F998" s="45"/>
      <c r="G998" s="46">
        <f>SUM(G901+G920+G947+G955+G962+G966+G997)</f>
        <v>137286621.03</v>
      </c>
      <c r="H998" s="46">
        <f>SUM(H901+H920+H947+H955+H962+H966+H997)</f>
        <v>131281413.35667351</v>
      </c>
      <c r="I998" s="46">
        <f>SUM(I901+I920+I947+I955+I962+I966+I997)</f>
        <v>6005207.6733264867</v>
      </c>
      <c r="J998" s="46">
        <f>SUM(J901+J920+J947+J955+J962+J966+J997)</f>
        <v>0</v>
      </c>
      <c r="L998" s="21">
        <v>0</v>
      </c>
    </row>
    <row r="999" spans="1:19" x14ac:dyDescent="0.2">
      <c r="A999" s="13">
        <f t="shared" si="378"/>
        <v>999</v>
      </c>
      <c r="B999" s="42" t="s">
        <v>39</v>
      </c>
      <c r="C999" s="42" t="s">
        <v>39</v>
      </c>
      <c r="D999" s="43"/>
      <c r="E999" s="44"/>
      <c r="F999" s="45"/>
      <c r="G999" s="46"/>
      <c r="H999" s="46"/>
      <c r="I999" s="46"/>
      <c r="J999" s="20">
        <f t="shared" si="386"/>
        <v>0</v>
      </c>
      <c r="L999" s="21">
        <v>0</v>
      </c>
    </row>
    <row r="1000" spans="1:19" x14ac:dyDescent="0.2">
      <c r="A1000" s="13">
        <f t="shared" si="378"/>
        <v>1000</v>
      </c>
      <c r="B1000" s="5" t="s">
        <v>39</v>
      </c>
      <c r="C1000" s="8" t="s">
        <v>534</v>
      </c>
      <c r="D1000" s="39"/>
      <c r="E1000" s="40"/>
      <c r="G1000" s="46">
        <f>SUM(H1000:I1000)</f>
        <v>1</v>
      </c>
      <c r="H1000" s="70">
        <f t="shared" ref="H1000:I1000" si="388">H998/$G998</f>
        <v>0.9562578812977397</v>
      </c>
      <c r="I1000" s="70">
        <f t="shared" si="388"/>
        <v>4.3742118702260309E-2</v>
      </c>
      <c r="J1000" s="20">
        <f t="shared" si="386"/>
        <v>0</v>
      </c>
      <c r="L1000" s="21">
        <v>0</v>
      </c>
    </row>
    <row r="1001" spans="1:19" x14ac:dyDescent="0.2">
      <c r="A1001" s="13">
        <f t="shared" si="378"/>
        <v>1001</v>
      </c>
      <c r="B1001" s="38" t="str">
        <f>"* * * TABLE 14 - ALLOCATION FACTORS * * *"</f>
        <v>* * * TABLE 14 - ALLOCATION FACTORS * * *</v>
      </c>
      <c r="C1001" s="4"/>
      <c r="D1001" s="43"/>
      <c r="E1001" s="53"/>
      <c r="F1001" s="54"/>
      <c r="G1001" s="12"/>
      <c r="H1001" s="12"/>
    </row>
    <row r="1002" spans="1:19" x14ac:dyDescent="0.2">
      <c r="A1002" s="13">
        <f t="shared" si="378"/>
        <v>1002</v>
      </c>
      <c r="B1002" s="4"/>
      <c r="C1002" s="4"/>
      <c r="D1002" s="43"/>
      <c r="E1002" s="53"/>
      <c r="F1002" s="54"/>
      <c r="G1002" s="12"/>
      <c r="H1002" s="12"/>
    </row>
    <row r="1003" spans="1:19" x14ac:dyDescent="0.2">
      <c r="A1003" s="13">
        <f t="shared" si="378"/>
        <v>1003</v>
      </c>
      <c r="B1003" s="4" t="s">
        <v>535</v>
      </c>
      <c r="C1003" s="4"/>
      <c r="D1003" s="43"/>
      <c r="E1003" s="44"/>
      <c r="F1003" s="71"/>
      <c r="G1003" s="12"/>
      <c r="H1003" s="12"/>
      <c r="I1003" s="12"/>
    </row>
    <row r="1004" spans="1:19" x14ac:dyDescent="0.2">
      <c r="A1004" s="13">
        <f t="shared" si="378"/>
        <v>1004</v>
      </c>
      <c r="B1004" s="4" t="s">
        <v>5</v>
      </c>
      <c r="C1004" s="4" t="s">
        <v>536</v>
      </c>
      <c r="D1004" s="43" t="s">
        <v>5</v>
      </c>
      <c r="E1004" s="44" t="s">
        <v>517</v>
      </c>
      <c r="F1004" s="71"/>
      <c r="G1004" s="72">
        <f>SUM(H1004:I1004)</f>
        <v>2593460.1292163455</v>
      </c>
      <c r="H1004" s="72">
        <v>2490100.3267371333</v>
      </c>
      <c r="I1004" s="72">
        <v>103359.80247921235</v>
      </c>
      <c r="J1004" s="20">
        <f t="shared" ref="J1004:J1007" si="389">IF($E$1149=1,($G1004),IF($E$1149=2,($G1004),IF($E$1149=3,0,IF($E$1149=4,($H1004),IF($E$1149=5,($I1004),0)))))</f>
        <v>0</v>
      </c>
    </row>
    <row r="1005" spans="1:19" x14ac:dyDescent="0.2">
      <c r="A1005" s="13">
        <f t="shared" si="378"/>
        <v>1005</v>
      </c>
      <c r="B1005" s="4" t="s">
        <v>5</v>
      </c>
      <c r="C1005" s="4" t="s">
        <v>537</v>
      </c>
      <c r="D1005" s="43" t="s">
        <v>5</v>
      </c>
      <c r="E1005" s="44" t="s">
        <v>538</v>
      </c>
      <c r="F1005" s="71"/>
      <c r="G1005" s="72">
        <f>SUM(H1005:I1005)</f>
        <v>2593460.1292163455</v>
      </c>
      <c r="H1005" s="73">
        <f t="shared" ref="H1005:I1005" si="390">H1004</f>
        <v>2490100.3267371333</v>
      </c>
      <c r="I1005" s="73">
        <f t="shared" si="390"/>
        <v>103359.80247921235</v>
      </c>
      <c r="J1005" s="20">
        <f t="shared" si="389"/>
        <v>0</v>
      </c>
    </row>
    <row r="1006" spans="1:19" x14ac:dyDescent="0.2">
      <c r="A1006" s="13">
        <f t="shared" si="378"/>
        <v>1006</v>
      </c>
      <c r="B1006" s="4"/>
      <c r="C1006" s="4" t="s">
        <v>539</v>
      </c>
      <c r="D1006" s="65"/>
      <c r="E1006" s="44" t="s">
        <v>540</v>
      </c>
      <c r="F1006" s="71"/>
      <c r="G1006" s="72">
        <f>SUM(H1006:I1006)</f>
        <v>2593460.1292163455</v>
      </c>
      <c r="H1006" s="73">
        <f>H1005</f>
        <v>2490100.3267371333</v>
      </c>
      <c r="I1006" s="73">
        <f>I1005</f>
        <v>103359.80247921235</v>
      </c>
      <c r="J1006" s="20">
        <f t="shared" si="389"/>
        <v>0</v>
      </c>
    </row>
    <row r="1007" spans="1:19" x14ac:dyDescent="0.2">
      <c r="A1007" s="13">
        <f t="shared" si="378"/>
        <v>1007</v>
      </c>
      <c r="B1007" s="4" t="s">
        <v>5</v>
      </c>
      <c r="C1007" s="4" t="s">
        <v>541</v>
      </c>
      <c r="D1007" s="43" t="s">
        <v>5</v>
      </c>
      <c r="E1007" s="44" t="s">
        <v>514</v>
      </c>
      <c r="F1007" s="71"/>
      <c r="G1007" s="72">
        <f>SUM(H1007:I1007)</f>
        <v>2464011.9673554315</v>
      </c>
      <c r="H1007" s="72">
        <v>2373716.9673554315</v>
      </c>
      <c r="I1007" s="72">
        <v>90295</v>
      </c>
      <c r="J1007" s="20">
        <f t="shared" si="389"/>
        <v>0</v>
      </c>
    </row>
    <row r="1008" spans="1:19" x14ac:dyDescent="0.2">
      <c r="A1008" s="13">
        <f t="shared" si="378"/>
        <v>1008</v>
      </c>
      <c r="B1008" s="4"/>
      <c r="C1008" s="4"/>
      <c r="D1008" s="43"/>
      <c r="E1008" s="44"/>
      <c r="F1008" s="71"/>
      <c r="G1008" s="74"/>
      <c r="H1008" s="74"/>
      <c r="I1008" s="74"/>
    </row>
    <row r="1009" spans="1:10" x14ac:dyDescent="0.2">
      <c r="A1009" s="13">
        <f t="shared" si="378"/>
        <v>1009</v>
      </c>
      <c r="B1009" s="4" t="s">
        <v>542</v>
      </c>
      <c r="C1009" s="4"/>
      <c r="D1009" s="43" t="s">
        <v>5</v>
      </c>
      <c r="E1009" s="44" t="s">
        <v>5</v>
      </c>
      <c r="F1009" s="71"/>
      <c r="G1009" s="74"/>
      <c r="H1009" s="74"/>
      <c r="I1009" s="74"/>
    </row>
    <row r="1010" spans="1:10" x14ac:dyDescent="0.2">
      <c r="A1010" s="13">
        <f t="shared" si="378"/>
        <v>1010</v>
      </c>
      <c r="B1010" s="4" t="s">
        <v>5</v>
      </c>
      <c r="C1010" s="4" t="s">
        <v>543</v>
      </c>
      <c r="D1010" s="43" t="s">
        <v>5</v>
      </c>
      <c r="E1010" s="75" t="s">
        <v>544</v>
      </c>
      <c r="F1010" s="76"/>
      <c r="G1010" s="72">
        <f>SUM(H1010:I1010)</f>
        <v>16766783</v>
      </c>
      <c r="H1010" s="72">
        <v>16025982</v>
      </c>
      <c r="I1010" s="72">
        <v>740801</v>
      </c>
      <c r="J1010" s="20">
        <f t="shared" ref="J1010:J1012" si="391">IF($E$1149=1,($G1010),IF($E$1149=2,($G1010),IF($E$1149=3,0,IF($E$1149=4,($H1010),IF($E$1149=5,($I1010),0)))))</f>
        <v>0</v>
      </c>
    </row>
    <row r="1011" spans="1:10" x14ac:dyDescent="0.2">
      <c r="A1011" s="13">
        <f t="shared" si="378"/>
        <v>1011</v>
      </c>
      <c r="B1011" s="4"/>
      <c r="C1011" s="4" t="s">
        <v>545</v>
      </c>
      <c r="D1011" s="43"/>
      <c r="E1011" s="44" t="s">
        <v>546</v>
      </c>
      <c r="F1011" s="71"/>
      <c r="G1011" s="72">
        <f>SUM(H1011:I1011)</f>
        <v>16766783</v>
      </c>
      <c r="H1011" s="73">
        <f>H1010</f>
        <v>16025982</v>
      </c>
      <c r="I1011" s="73">
        <f>I1010</f>
        <v>740801</v>
      </c>
      <c r="J1011" s="20">
        <f t="shared" si="391"/>
        <v>0</v>
      </c>
    </row>
    <row r="1012" spans="1:10" x14ac:dyDescent="0.2">
      <c r="A1012" s="13">
        <f t="shared" si="378"/>
        <v>1012</v>
      </c>
      <c r="B1012" s="4" t="s">
        <v>5</v>
      </c>
      <c r="C1012" s="4" t="s">
        <v>547</v>
      </c>
      <c r="D1012" s="43" t="s">
        <v>5</v>
      </c>
      <c r="E1012" s="44" t="s">
        <v>548</v>
      </c>
      <c r="F1012" s="71"/>
      <c r="G1012" s="72">
        <f>SUM(H1012:I1012)</f>
        <v>15450245</v>
      </c>
      <c r="H1012" s="72">
        <v>14762437</v>
      </c>
      <c r="I1012" s="72">
        <v>687808</v>
      </c>
      <c r="J1012" s="20">
        <f t="shared" si="391"/>
        <v>0</v>
      </c>
    </row>
    <row r="1013" spans="1:10" x14ac:dyDescent="0.2">
      <c r="A1013" s="13">
        <f t="shared" si="378"/>
        <v>1013</v>
      </c>
      <c r="B1013" s="4" t="s">
        <v>5</v>
      </c>
      <c r="C1013" s="4" t="s">
        <v>5</v>
      </c>
      <c r="D1013" s="43" t="s">
        <v>5</v>
      </c>
      <c r="E1013" s="44" t="s">
        <v>5</v>
      </c>
      <c r="F1013" s="71"/>
      <c r="G1013" s="12"/>
      <c r="H1013" s="12"/>
      <c r="I1013" s="12"/>
    </row>
    <row r="1014" spans="1:10" x14ac:dyDescent="0.2">
      <c r="A1014" s="13">
        <f t="shared" si="378"/>
        <v>1014</v>
      </c>
      <c r="B1014" s="4" t="s">
        <v>549</v>
      </c>
      <c r="C1014" s="4"/>
      <c r="D1014" s="43" t="s">
        <v>5</v>
      </c>
      <c r="E1014" s="44" t="s">
        <v>5</v>
      </c>
      <c r="F1014" s="71"/>
      <c r="G1014" s="12"/>
      <c r="H1014" s="12"/>
      <c r="I1014" s="12"/>
    </row>
    <row r="1015" spans="1:10" x14ac:dyDescent="0.2">
      <c r="A1015" s="13">
        <f t="shared" si="378"/>
        <v>1015</v>
      </c>
      <c r="B1015" s="4"/>
      <c r="C1015" s="4" t="s">
        <v>550</v>
      </c>
      <c r="D1015" s="43" t="s">
        <v>5</v>
      </c>
      <c r="E1015" s="44" t="s">
        <v>551</v>
      </c>
      <c r="F1015" s="71"/>
      <c r="G1015" s="46">
        <v>65418651.68</v>
      </c>
      <c r="H1015" s="46">
        <v>62662268.990000002</v>
      </c>
      <c r="I1015" s="46">
        <v>2756382.689999999</v>
      </c>
      <c r="J1015" s="20">
        <f t="shared" ref="J1015:J1020" si="392">IF($E$1149=1,($G1015),IF($E$1149=2,($G1015),IF($E$1149=3,0,IF($E$1149=4,($H1015),IF($E$1149=5,($I1015),0)))))</f>
        <v>0</v>
      </c>
    </row>
    <row r="1016" spans="1:10" x14ac:dyDescent="0.2">
      <c r="A1016" s="13">
        <f t="shared" si="378"/>
        <v>1016</v>
      </c>
      <c r="B1016" s="4"/>
      <c r="C1016" s="4" t="s">
        <v>552</v>
      </c>
      <c r="D1016" s="43" t="s">
        <v>5</v>
      </c>
      <c r="E1016" s="44" t="s">
        <v>553</v>
      </c>
      <c r="F1016" s="71"/>
      <c r="G1016" s="46">
        <v>106703076.91604315</v>
      </c>
      <c r="H1016" s="46">
        <v>103146938.63760106</v>
      </c>
      <c r="I1016" s="46">
        <v>3556138.2784420918</v>
      </c>
      <c r="J1016" s="20">
        <f t="shared" si="392"/>
        <v>0</v>
      </c>
    </row>
    <row r="1017" spans="1:10" x14ac:dyDescent="0.2">
      <c r="A1017" s="13">
        <f t="shared" si="378"/>
        <v>1017</v>
      </c>
      <c r="B1017" s="4"/>
      <c r="C1017" s="4" t="s">
        <v>554</v>
      </c>
      <c r="D1017" s="43" t="s">
        <v>5</v>
      </c>
      <c r="E1017" s="44" t="s">
        <v>555</v>
      </c>
      <c r="F1017" s="71"/>
      <c r="G1017" s="46">
        <v>1871924.32</v>
      </c>
      <c r="H1017" s="46">
        <v>1535471.9297436634</v>
      </c>
      <c r="I1017" s="46">
        <v>336452.3902563366</v>
      </c>
      <c r="J1017" s="20">
        <f t="shared" si="392"/>
        <v>0</v>
      </c>
    </row>
    <row r="1018" spans="1:10" x14ac:dyDescent="0.2">
      <c r="A1018" s="13">
        <f t="shared" si="378"/>
        <v>1018</v>
      </c>
      <c r="B1018" s="4"/>
      <c r="C1018" s="4" t="s">
        <v>556</v>
      </c>
      <c r="D1018" s="43" t="s">
        <v>5</v>
      </c>
      <c r="E1018" s="44" t="s">
        <v>557</v>
      </c>
      <c r="F1018" s="71"/>
      <c r="G1018" s="46">
        <v>14000068</v>
      </c>
      <c r="H1018" s="46">
        <v>13542425</v>
      </c>
      <c r="I1018" s="46">
        <v>457643</v>
      </c>
      <c r="J1018" s="20">
        <f t="shared" si="392"/>
        <v>0</v>
      </c>
    </row>
    <row r="1019" spans="1:10" x14ac:dyDescent="0.2">
      <c r="A1019" s="13">
        <f t="shared" si="378"/>
        <v>1019</v>
      </c>
      <c r="B1019" s="4"/>
      <c r="C1019" s="4" t="s">
        <v>558</v>
      </c>
      <c r="D1019" s="43" t="s">
        <v>5</v>
      </c>
      <c r="E1019" s="44" t="s">
        <v>559</v>
      </c>
      <c r="F1019" s="71"/>
      <c r="G1019" s="46">
        <v>2287942</v>
      </c>
      <c r="H1019" s="46">
        <v>2124182</v>
      </c>
      <c r="I1019" s="46">
        <v>163760</v>
      </c>
      <c r="J1019" s="20">
        <f t="shared" si="392"/>
        <v>0</v>
      </c>
    </row>
    <row r="1020" spans="1:10" x14ac:dyDescent="0.2">
      <c r="A1020" s="13">
        <f t="shared" si="378"/>
        <v>1020</v>
      </c>
      <c r="B1020" s="4"/>
      <c r="C1020" s="4" t="s">
        <v>560</v>
      </c>
      <c r="D1020" s="43" t="s">
        <v>5</v>
      </c>
      <c r="E1020" s="44" t="s">
        <v>561</v>
      </c>
      <c r="F1020" s="71"/>
      <c r="G1020" s="46">
        <v>595356.66666666663</v>
      </c>
      <c r="H1020" s="46">
        <v>575891.58333333326</v>
      </c>
      <c r="I1020" s="46">
        <v>19465.083333333336</v>
      </c>
      <c r="J1020" s="20">
        <f t="shared" si="392"/>
        <v>0</v>
      </c>
    </row>
    <row r="1021" spans="1:10" x14ac:dyDescent="0.2">
      <c r="A1021" s="13">
        <f t="shared" si="378"/>
        <v>1021</v>
      </c>
      <c r="B1021" s="38" t="str">
        <f>B1001</f>
        <v>* * * TABLE 14 - ALLOCATION FACTORS * * *</v>
      </c>
      <c r="C1021" s="4"/>
      <c r="D1021" s="43"/>
      <c r="E1021" s="44"/>
      <c r="F1021" s="71"/>
      <c r="G1021" s="46"/>
      <c r="H1021" s="51"/>
      <c r="I1021" s="51"/>
    </row>
    <row r="1022" spans="1:10" x14ac:dyDescent="0.2">
      <c r="A1022" s="13">
        <f t="shared" si="378"/>
        <v>1022</v>
      </c>
      <c r="B1022" s="4"/>
      <c r="C1022" s="4"/>
      <c r="D1022" s="43"/>
      <c r="E1022" s="44"/>
      <c r="F1022" s="71"/>
      <c r="G1022" s="46"/>
      <c r="H1022" s="12"/>
      <c r="I1022" s="12"/>
    </row>
    <row r="1023" spans="1:10" x14ac:dyDescent="0.2">
      <c r="A1023" s="13">
        <f t="shared" si="378"/>
        <v>1023</v>
      </c>
      <c r="B1023" s="4" t="s">
        <v>562</v>
      </c>
      <c r="C1023" s="4"/>
      <c r="D1023" s="43" t="s">
        <v>5</v>
      </c>
      <c r="E1023" s="44" t="s">
        <v>5</v>
      </c>
      <c r="F1023" s="71"/>
      <c r="G1023" s="46"/>
      <c r="H1023" s="12"/>
      <c r="I1023" s="12"/>
    </row>
    <row r="1024" spans="1:10" x14ac:dyDescent="0.2">
      <c r="A1024" s="13">
        <f t="shared" si="378"/>
        <v>1024</v>
      </c>
      <c r="B1024" s="4"/>
      <c r="C1024" s="4" t="s">
        <v>563</v>
      </c>
      <c r="D1024" s="43" t="s">
        <v>5</v>
      </c>
      <c r="E1024" s="44" t="s">
        <v>564</v>
      </c>
      <c r="F1024" s="71"/>
      <c r="G1024" s="46">
        <v>6789581</v>
      </c>
      <c r="H1024" s="46">
        <v>6733516</v>
      </c>
      <c r="I1024" s="46">
        <v>56065</v>
      </c>
      <c r="J1024" s="20">
        <f t="shared" ref="J1024:J1051" si="393">IF($E$1149=1,($G1024),IF($E$1149=2,($G1024),IF($E$1149=3,0,IF($E$1149=4,($H1024),IF($E$1149=5,($I1024),0)))))</f>
        <v>0</v>
      </c>
    </row>
    <row r="1025" spans="1:10" x14ac:dyDescent="0.2">
      <c r="A1025" s="13">
        <f t="shared" si="378"/>
        <v>1025</v>
      </c>
      <c r="B1025" s="4"/>
      <c r="C1025" s="8" t="s">
        <v>565</v>
      </c>
      <c r="D1025" s="43" t="s">
        <v>5</v>
      </c>
      <c r="E1025" s="44" t="s">
        <v>566</v>
      </c>
      <c r="F1025" s="71"/>
      <c r="G1025" s="46">
        <v>0</v>
      </c>
      <c r="H1025" s="46">
        <v>0</v>
      </c>
      <c r="I1025" s="46">
        <v>0</v>
      </c>
      <c r="J1025" s="20">
        <f t="shared" si="393"/>
        <v>0</v>
      </c>
    </row>
    <row r="1026" spans="1:10" x14ac:dyDescent="0.2">
      <c r="A1026" s="13">
        <f t="shared" si="378"/>
        <v>1026</v>
      </c>
      <c r="B1026" s="4"/>
      <c r="C1026" s="8" t="s">
        <v>567</v>
      </c>
      <c r="D1026" s="43" t="s">
        <v>5</v>
      </c>
      <c r="E1026" s="44" t="s">
        <v>568</v>
      </c>
      <c r="F1026" s="71"/>
      <c r="G1026" s="46">
        <v>658</v>
      </c>
      <c r="H1026" s="46">
        <v>0</v>
      </c>
      <c r="I1026" s="46">
        <v>658</v>
      </c>
      <c r="J1026" s="20">
        <f t="shared" si="393"/>
        <v>0</v>
      </c>
    </row>
    <row r="1027" spans="1:10" x14ac:dyDescent="0.2">
      <c r="A1027" s="13">
        <f t="shared" ref="A1027:A1090" si="394">A1026+1</f>
        <v>1027</v>
      </c>
      <c r="B1027" s="4"/>
      <c r="C1027" s="8" t="s">
        <v>569</v>
      </c>
      <c r="D1027" s="43" t="s">
        <v>5</v>
      </c>
      <c r="E1027" s="44" t="s">
        <v>570</v>
      </c>
      <c r="F1027" s="71"/>
      <c r="G1027" s="46">
        <v>111594</v>
      </c>
      <c r="H1027" s="46">
        <v>75100</v>
      </c>
      <c r="I1027" s="46">
        <v>36494</v>
      </c>
      <c r="J1027" s="20">
        <f t="shared" si="393"/>
        <v>0</v>
      </c>
    </row>
    <row r="1028" spans="1:10" x14ac:dyDescent="0.2">
      <c r="A1028" s="13">
        <f t="shared" si="394"/>
        <v>1028</v>
      </c>
      <c r="B1028" s="4"/>
      <c r="C1028" s="8" t="s">
        <v>571</v>
      </c>
      <c r="D1028" s="43" t="s">
        <v>5</v>
      </c>
      <c r="E1028" s="44" t="s">
        <v>572</v>
      </c>
      <c r="F1028" s="71"/>
      <c r="G1028" s="46">
        <v>0</v>
      </c>
      <c r="H1028" s="46">
        <v>0</v>
      </c>
      <c r="I1028" s="46">
        <v>0</v>
      </c>
      <c r="J1028" s="20">
        <f t="shared" si="393"/>
        <v>0</v>
      </c>
    </row>
    <row r="1029" spans="1:10" x14ac:dyDescent="0.2">
      <c r="A1029" s="13">
        <f t="shared" si="394"/>
        <v>1029</v>
      </c>
      <c r="B1029" s="4"/>
      <c r="C1029" s="8" t="s">
        <v>573</v>
      </c>
      <c r="D1029" s="43" t="s">
        <v>5</v>
      </c>
      <c r="E1029" s="44" t="s">
        <v>574</v>
      </c>
      <c r="F1029" s="71"/>
      <c r="G1029" s="46">
        <v>33842</v>
      </c>
      <c r="H1029" s="46">
        <v>0</v>
      </c>
      <c r="I1029" s="46">
        <v>33842</v>
      </c>
      <c r="J1029" s="20">
        <f t="shared" si="393"/>
        <v>0</v>
      </c>
    </row>
    <row r="1030" spans="1:10" x14ac:dyDescent="0.2">
      <c r="A1030" s="13">
        <f t="shared" si="394"/>
        <v>1030</v>
      </c>
      <c r="B1030" s="4"/>
      <c r="C1030" s="8" t="s">
        <v>575</v>
      </c>
      <c r="D1030" s="43" t="s">
        <v>5</v>
      </c>
      <c r="E1030" s="44" t="s">
        <v>576</v>
      </c>
      <c r="F1030" s="71"/>
      <c r="G1030" s="46">
        <v>26495</v>
      </c>
      <c r="H1030" s="46">
        <v>1189</v>
      </c>
      <c r="I1030" s="46">
        <v>25306</v>
      </c>
      <c r="J1030" s="20">
        <f t="shared" si="393"/>
        <v>0</v>
      </c>
    </row>
    <row r="1031" spans="1:10" x14ac:dyDescent="0.2">
      <c r="A1031" s="13">
        <f t="shared" si="394"/>
        <v>1031</v>
      </c>
      <c r="B1031" s="4"/>
      <c r="C1031" s="8" t="s">
        <v>577</v>
      </c>
      <c r="D1031" s="43" t="s">
        <v>5</v>
      </c>
      <c r="E1031" s="44" t="s">
        <v>578</v>
      </c>
      <c r="F1031" s="71"/>
      <c r="G1031" s="46">
        <v>0</v>
      </c>
      <c r="H1031" s="46">
        <v>0</v>
      </c>
      <c r="I1031" s="46">
        <v>0</v>
      </c>
      <c r="J1031" s="20">
        <f t="shared" si="393"/>
        <v>0</v>
      </c>
    </row>
    <row r="1032" spans="1:10" x14ac:dyDescent="0.2">
      <c r="A1032" s="13">
        <f t="shared" si="394"/>
        <v>1032</v>
      </c>
      <c r="B1032" s="4"/>
      <c r="C1032" s="8" t="s">
        <v>579</v>
      </c>
      <c r="D1032" s="43" t="s">
        <v>5</v>
      </c>
      <c r="E1032" s="44" t="s">
        <v>580</v>
      </c>
      <c r="F1032" s="71"/>
      <c r="G1032" s="46">
        <v>7831316</v>
      </c>
      <c r="H1032" s="46">
        <v>7640364</v>
      </c>
      <c r="I1032" s="46">
        <v>190952</v>
      </c>
      <c r="J1032" s="20">
        <f t="shared" si="393"/>
        <v>0</v>
      </c>
    </row>
    <row r="1033" spans="1:10" x14ac:dyDescent="0.2">
      <c r="A1033" s="13">
        <f t="shared" si="394"/>
        <v>1033</v>
      </c>
      <c r="B1033" s="4"/>
      <c r="C1033" s="8" t="s">
        <v>581</v>
      </c>
      <c r="D1033" s="43" t="s">
        <v>5</v>
      </c>
      <c r="E1033" s="44" t="s">
        <v>582</v>
      </c>
      <c r="F1033" s="71"/>
      <c r="G1033" s="46">
        <v>52169658</v>
      </c>
      <c r="H1033" s="46">
        <v>49536165</v>
      </c>
      <c r="I1033" s="46">
        <v>2633493</v>
      </c>
      <c r="J1033" s="20">
        <f t="shared" si="393"/>
        <v>0</v>
      </c>
    </row>
    <row r="1034" spans="1:10" x14ac:dyDescent="0.2">
      <c r="A1034" s="13">
        <f t="shared" si="394"/>
        <v>1034</v>
      </c>
      <c r="B1034" s="4"/>
      <c r="C1034" s="8" t="s">
        <v>583</v>
      </c>
      <c r="D1034" s="43" t="s">
        <v>5</v>
      </c>
      <c r="E1034" s="44" t="s">
        <v>584</v>
      </c>
      <c r="F1034" s="71"/>
      <c r="G1034" s="46">
        <v>301417637</v>
      </c>
      <c r="H1034" s="46">
        <v>288442652</v>
      </c>
      <c r="I1034" s="46">
        <v>12974985</v>
      </c>
      <c r="J1034" s="20">
        <f t="shared" si="393"/>
        <v>0</v>
      </c>
    </row>
    <row r="1035" spans="1:10" x14ac:dyDescent="0.2">
      <c r="A1035" s="13">
        <f t="shared" si="394"/>
        <v>1035</v>
      </c>
      <c r="B1035" s="4"/>
      <c r="C1035" s="8" t="s">
        <v>585</v>
      </c>
      <c r="D1035" s="43" t="s">
        <v>5</v>
      </c>
      <c r="E1035" s="44" t="s">
        <v>586</v>
      </c>
      <c r="F1035" s="71"/>
      <c r="G1035" s="46">
        <v>296273045.67999995</v>
      </c>
      <c r="H1035" s="46">
        <v>272489373.96999997</v>
      </c>
      <c r="I1035" s="46">
        <v>23783671.710000005</v>
      </c>
      <c r="J1035" s="20">
        <f t="shared" si="393"/>
        <v>0</v>
      </c>
    </row>
    <row r="1036" spans="1:10" x14ac:dyDescent="0.2">
      <c r="A1036" s="13">
        <f t="shared" si="394"/>
        <v>1036</v>
      </c>
      <c r="B1036" s="4"/>
      <c r="C1036" s="8" t="s">
        <v>587</v>
      </c>
      <c r="D1036" s="43" t="s">
        <v>5</v>
      </c>
      <c r="E1036" s="44" t="s">
        <v>588</v>
      </c>
      <c r="F1036" s="71"/>
      <c r="G1036" s="46">
        <v>148575497.89000002</v>
      </c>
      <c r="H1036" s="46">
        <v>139471064.48000002</v>
      </c>
      <c r="I1036" s="46">
        <v>9104433.4099999983</v>
      </c>
      <c r="J1036" s="20">
        <f t="shared" si="393"/>
        <v>0</v>
      </c>
    </row>
    <row r="1037" spans="1:10" x14ac:dyDescent="0.2">
      <c r="A1037" s="13">
        <f t="shared" si="394"/>
        <v>1037</v>
      </c>
      <c r="B1037" s="4"/>
      <c r="C1037" s="8" t="s">
        <v>589</v>
      </c>
      <c r="D1037" s="43" t="s">
        <v>5</v>
      </c>
      <c r="E1037" s="44" t="s">
        <v>590</v>
      </c>
      <c r="F1037" s="71"/>
      <c r="G1037" s="46">
        <v>52661172.170000002</v>
      </c>
      <c r="H1037" s="46">
        <v>51862710.149999999</v>
      </c>
      <c r="I1037" s="46">
        <v>798462.02</v>
      </c>
      <c r="J1037" s="20">
        <f t="shared" si="393"/>
        <v>0</v>
      </c>
    </row>
    <row r="1038" spans="1:10" x14ac:dyDescent="0.2">
      <c r="A1038" s="13">
        <f t="shared" si="394"/>
        <v>1038</v>
      </c>
      <c r="B1038" s="4"/>
      <c r="C1038" s="8" t="s">
        <v>591</v>
      </c>
      <c r="D1038" s="43" t="s">
        <v>5</v>
      </c>
      <c r="E1038" s="44" t="s">
        <v>592</v>
      </c>
      <c r="F1038" s="71"/>
      <c r="G1038" s="46">
        <v>305663738.49000007</v>
      </c>
      <c r="H1038" s="46">
        <v>301060491.00000006</v>
      </c>
      <c r="I1038" s="46">
        <v>4603247.4899999993</v>
      </c>
      <c r="J1038" s="20">
        <f t="shared" si="393"/>
        <v>0</v>
      </c>
    </row>
    <row r="1039" spans="1:10" x14ac:dyDescent="0.2">
      <c r="A1039" s="13">
        <f t="shared" si="394"/>
        <v>1039</v>
      </c>
      <c r="B1039" s="4"/>
      <c r="C1039" s="4" t="s">
        <v>593</v>
      </c>
      <c r="D1039" s="43" t="s">
        <v>5</v>
      </c>
      <c r="E1039" s="44" t="s">
        <v>594</v>
      </c>
      <c r="F1039" s="71"/>
      <c r="G1039" s="46">
        <v>4554875.5299999993</v>
      </c>
      <c r="H1039" s="46">
        <v>4281072.8699999992</v>
      </c>
      <c r="I1039" s="46">
        <v>273802.65999999997</v>
      </c>
      <c r="J1039" s="20">
        <f t="shared" si="393"/>
        <v>0</v>
      </c>
    </row>
    <row r="1040" spans="1:10" x14ac:dyDescent="0.2">
      <c r="A1040" s="13">
        <f t="shared" si="394"/>
        <v>1040</v>
      </c>
      <c r="B1040" s="4"/>
      <c r="C1040" s="4" t="s">
        <v>595</v>
      </c>
      <c r="D1040" s="43" t="s">
        <v>5</v>
      </c>
      <c r="E1040" s="44" t="s">
        <v>596</v>
      </c>
      <c r="F1040" s="71"/>
      <c r="G1040" s="46">
        <v>5182728.05</v>
      </c>
      <c r="H1040" s="46">
        <v>4956649.87</v>
      </c>
      <c r="I1040" s="46">
        <v>226078.18000000002</v>
      </c>
      <c r="J1040" s="20">
        <f t="shared" si="393"/>
        <v>0</v>
      </c>
    </row>
    <row r="1041" spans="1:10" x14ac:dyDescent="0.2">
      <c r="A1041" s="13">
        <f t="shared" si="394"/>
        <v>1041</v>
      </c>
      <c r="B1041" s="4"/>
      <c r="C1041" s="4" t="s">
        <v>597</v>
      </c>
      <c r="D1041" s="43" t="s">
        <v>5</v>
      </c>
      <c r="E1041" s="44" t="s">
        <v>598</v>
      </c>
      <c r="F1041" s="71"/>
      <c r="G1041" s="46">
        <v>4655726.9200000009</v>
      </c>
      <c r="H1041" s="46">
        <v>4613049.4800000004</v>
      </c>
      <c r="I1041" s="46">
        <v>42677.440000000002</v>
      </c>
      <c r="J1041" s="20">
        <f t="shared" si="393"/>
        <v>0</v>
      </c>
    </row>
    <row r="1042" spans="1:10" x14ac:dyDescent="0.2">
      <c r="A1042" s="13">
        <f t="shared" si="394"/>
        <v>1042</v>
      </c>
      <c r="B1042" s="4"/>
      <c r="C1042" s="4" t="s">
        <v>599</v>
      </c>
      <c r="D1042" s="43" t="s">
        <v>5</v>
      </c>
      <c r="E1042" s="44" t="s">
        <v>600</v>
      </c>
      <c r="F1042" s="71"/>
      <c r="G1042" s="46">
        <v>10122951.979999999</v>
      </c>
      <c r="H1042" s="46">
        <v>9709513.2899999991</v>
      </c>
      <c r="I1042" s="46">
        <v>413438.69</v>
      </c>
      <c r="J1042" s="20">
        <f t="shared" si="393"/>
        <v>0</v>
      </c>
    </row>
    <row r="1043" spans="1:10" x14ac:dyDescent="0.2">
      <c r="A1043" s="13">
        <f t="shared" si="394"/>
        <v>1043</v>
      </c>
      <c r="B1043" s="4"/>
      <c r="C1043" s="4" t="s">
        <v>601</v>
      </c>
      <c r="D1043" s="43" t="s">
        <v>5</v>
      </c>
      <c r="E1043" s="44" t="s">
        <v>602</v>
      </c>
      <c r="F1043" s="71"/>
      <c r="G1043" s="46">
        <f>SUM(H1043:I1043)</f>
        <v>6257430.8099999987</v>
      </c>
      <c r="H1043" s="77">
        <v>6055544.7595882453</v>
      </c>
      <c r="I1043" s="77">
        <v>201886.05041175289</v>
      </c>
      <c r="J1043" s="20">
        <f t="shared" si="393"/>
        <v>0</v>
      </c>
    </row>
    <row r="1044" spans="1:10" x14ac:dyDescent="0.2">
      <c r="A1044" s="13">
        <f t="shared" si="394"/>
        <v>1044</v>
      </c>
      <c r="B1044" s="4"/>
      <c r="C1044" s="4" t="s">
        <v>603</v>
      </c>
      <c r="D1044" s="43" t="s">
        <v>5</v>
      </c>
      <c r="E1044" s="44" t="s">
        <v>604</v>
      </c>
      <c r="F1044" s="71"/>
      <c r="G1044" s="46">
        <f>SUM(H1044:I1044)</f>
        <v>1113248734.933702</v>
      </c>
      <c r="H1044" s="77">
        <v>1060932404.3525488</v>
      </c>
      <c r="I1044" s="77">
        <v>52316330.58115308</v>
      </c>
      <c r="J1044" s="20">
        <f t="shared" si="393"/>
        <v>0</v>
      </c>
    </row>
    <row r="1045" spans="1:10" x14ac:dyDescent="0.2">
      <c r="A1045" s="13">
        <f t="shared" si="394"/>
        <v>1045</v>
      </c>
      <c r="B1045" s="4"/>
      <c r="C1045" s="4" t="s">
        <v>605</v>
      </c>
      <c r="D1045" s="43" t="s">
        <v>5</v>
      </c>
      <c r="E1045" s="44" t="s">
        <v>606</v>
      </c>
      <c r="F1045" s="71"/>
      <c r="G1045" s="46">
        <f>SUM(H1045:I1045)</f>
        <v>0</v>
      </c>
      <c r="H1045" s="46">
        <v>0</v>
      </c>
      <c r="I1045" s="46">
        <v>0</v>
      </c>
      <c r="J1045" s="20">
        <f t="shared" si="393"/>
        <v>0</v>
      </c>
    </row>
    <row r="1046" spans="1:10" x14ac:dyDescent="0.2">
      <c r="A1046" s="13">
        <f t="shared" si="394"/>
        <v>1046</v>
      </c>
      <c r="B1046" s="4"/>
      <c r="C1046" s="4" t="s">
        <v>607</v>
      </c>
      <c r="D1046" s="43"/>
      <c r="E1046" s="44" t="s">
        <v>608</v>
      </c>
      <c r="F1046" s="71"/>
      <c r="G1046" s="46">
        <f>SUM(H1046:I1046)</f>
        <v>0</v>
      </c>
      <c r="H1046" s="46">
        <v>0</v>
      </c>
      <c r="I1046" s="46">
        <v>0</v>
      </c>
      <c r="J1046" s="20">
        <f t="shared" si="393"/>
        <v>0</v>
      </c>
    </row>
    <row r="1047" spans="1:10" x14ac:dyDescent="0.2">
      <c r="A1047" s="13">
        <f t="shared" si="394"/>
        <v>1047</v>
      </c>
      <c r="B1047" s="4"/>
      <c r="C1047" s="4" t="s">
        <v>609</v>
      </c>
      <c r="D1047" s="43"/>
      <c r="E1047" s="44" t="s">
        <v>519</v>
      </c>
      <c r="F1047" s="71"/>
      <c r="G1047" s="46">
        <v>56782.84</v>
      </c>
      <c r="H1047" s="46">
        <v>54556.95</v>
      </c>
      <c r="I1047" s="46">
        <v>2225.89</v>
      </c>
      <c r="J1047" s="20">
        <f t="shared" si="393"/>
        <v>0</v>
      </c>
    </row>
    <row r="1048" spans="1:10" x14ac:dyDescent="0.2">
      <c r="A1048" s="13">
        <f t="shared" si="394"/>
        <v>1048</v>
      </c>
      <c r="B1048" s="4"/>
      <c r="C1048" s="4" t="s">
        <v>610</v>
      </c>
      <c r="D1048" s="43"/>
      <c r="E1048" s="44" t="s">
        <v>518</v>
      </c>
      <c r="F1048" s="71"/>
      <c r="G1048" s="46">
        <v>0</v>
      </c>
      <c r="H1048" s="46">
        <v>0</v>
      </c>
      <c r="I1048" s="46">
        <v>0</v>
      </c>
      <c r="J1048" s="20">
        <f t="shared" si="393"/>
        <v>0</v>
      </c>
    </row>
    <row r="1049" spans="1:10" x14ac:dyDescent="0.2">
      <c r="A1049" s="13">
        <f t="shared" si="394"/>
        <v>1049</v>
      </c>
      <c r="B1049" s="4" t="s">
        <v>5</v>
      </c>
      <c r="C1049" s="4" t="s">
        <v>611</v>
      </c>
      <c r="D1049" s="43" t="s">
        <v>5</v>
      </c>
      <c r="E1049" s="44" t="s">
        <v>516</v>
      </c>
      <c r="F1049" s="71"/>
      <c r="G1049" s="46">
        <v>1</v>
      </c>
      <c r="H1049" s="46">
        <v>1</v>
      </c>
      <c r="I1049" s="46">
        <v>0</v>
      </c>
      <c r="J1049" s="20">
        <f t="shared" si="393"/>
        <v>0</v>
      </c>
    </row>
    <row r="1050" spans="1:10" x14ac:dyDescent="0.2">
      <c r="A1050" s="13">
        <f t="shared" si="394"/>
        <v>1050</v>
      </c>
      <c r="B1050" s="4" t="s">
        <v>5</v>
      </c>
      <c r="C1050" s="4" t="s">
        <v>492</v>
      </c>
      <c r="D1050" s="43" t="s">
        <v>5</v>
      </c>
      <c r="E1050" s="44" t="s">
        <v>612</v>
      </c>
      <c r="F1050" s="71"/>
      <c r="G1050" s="46">
        <v>1</v>
      </c>
      <c r="H1050" s="46">
        <v>0</v>
      </c>
      <c r="I1050" s="46">
        <v>1</v>
      </c>
      <c r="J1050" s="20">
        <f t="shared" si="393"/>
        <v>0</v>
      </c>
    </row>
    <row r="1051" spans="1:10" x14ac:dyDescent="0.2">
      <c r="A1051" s="13">
        <f t="shared" si="394"/>
        <v>1051</v>
      </c>
      <c r="B1051" s="4" t="s">
        <v>5</v>
      </c>
      <c r="C1051" s="4" t="s">
        <v>613</v>
      </c>
      <c r="D1051" s="43" t="s">
        <v>5</v>
      </c>
      <c r="E1051" s="78" t="s">
        <v>614</v>
      </c>
      <c r="F1051" s="79"/>
      <c r="G1051" s="80">
        <v>1.347</v>
      </c>
      <c r="H1051" s="80">
        <v>1.347</v>
      </c>
      <c r="I1051" s="80">
        <v>1.347</v>
      </c>
      <c r="J1051" s="20">
        <f t="shared" si="393"/>
        <v>0</v>
      </c>
    </row>
    <row r="1052" spans="1:10" x14ac:dyDescent="0.2">
      <c r="A1052" s="13">
        <f t="shared" si="394"/>
        <v>1052</v>
      </c>
      <c r="B1052" s="38" t="str">
        <f>B1001</f>
        <v>* * * TABLE 14 - ALLOCATION FACTORS * * *</v>
      </c>
      <c r="C1052" s="4"/>
      <c r="D1052" s="43"/>
      <c r="E1052" s="44"/>
      <c r="F1052" s="71"/>
      <c r="G1052" s="81"/>
      <c r="H1052" s="12"/>
      <c r="I1052" s="12"/>
    </row>
    <row r="1053" spans="1:10" x14ac:dyDescent="0.2">
      <c r="A1053" s="13">
        <f t="shared" si="394"/>
        <v>1053</v>
      </c>
      <c r="B1053" s="4" t="s">
        <v>5</v>
      </c>
      <c r="C1053" s="4" t="s">
        <v>5</v>
      </c>
      <c r="D1053" s="43" t="s">
        <v>5</v>
      </c>
      <c r="E1053" s="44" t="s">
        <v>5</v>
      </c>
      <c r="F1053" s="71"/>
      <c r="G1053" s="81"/>
      <c r="H1053" s="12"/>
      <c r="I1053" s="12"/>
    </row>
    <row r="1054" spans="1:10" x14ac:dyDescent="0.2">
      <c r="A1054" s="13">
        <f t="shared" si="394"/>
        <v>1054</v>
      </c>
      <c r="B1054" s="4" t="s">
        <v>615</v>
      </c>
      <c r="C1054" s="4"/>
      <c r="D1054" s="43" t="s">
        <v>5</v>
      </c>
      <c r="E1054" s="44" t="s">
        <v>5</v>
      </c>
      <c r="F1054" s="71"/>
      <c r="G1054" s="12"/>
      <c r="H1054" s="12"/>
      <c r="I1054" s="12"/>
    </row>
    <row r="1055" spans="1:10" x14ac:dyDescent="0.2">
      <c r="A1055" s="13">
        <f t="shared" si="394"/>
        <v>1055</v>
      </c>
      <c r="B1055" s="4" t="s">
        <v>5</v>
      </c>
      <c r="C1055" s="4" t="s">
        <v>616</v>
      </c>
      <c r="D1055" s="43" t="s">
        <v>5</v>
      </c>
      <c r="E1055" s="44" t="s">
        <v>617</v>
      </c>
      <c r="F1055" s="71"/>
      <c r="G1055" s="46">
        <f t="shared" ref="G1055:G1066" si="395">SUM(H1055:I1055)</f>
        <v>5575237819.3903074</v>
      </c>
      <c r="H1055" s="42">
        <f>SUM(H105+H144+H162)</f>
        <v>5347885347.5668221</v>
      </c>
      <c r="I1055" s="42">
        <f>SUM(I105+I144+I162)</f>
        <v>227352471.8234857</v>
      </c>
      <c r="J1055" s="20">
        <f t="shared" ref="J1055:J1066" si="396">IF($E$1149=1,($G1055),IF($E$1149=2,($G1055),IF($E$1149=3,0,IF($E$1149=4,($H1055),IF($E$1149=5,($I1055),0)))))</f>
        <v>0</v>
      </c>
    </row>
    <row r="1056" spans="1:10" x14ac:dyDescent="0.2">
      <c r="A1056" s="13">
        <f t="shared" si="394"/>
        <v>1056</v>
      </c>
      <c r="B1056" s="4" t="s">
        <v>5</v>
      </c>
      <c r="C1056" s="4" t="s">
        <v>618</v>
      </c>
      <c r="D1056" s="43" t="s">
        <v>5</v>
      </c>
      <c r="E1056" s="44" t="s">
        <v>619</v>
      </c>
      <c r="F1056" s="71"/>
      <c r="G1056" s="46">
        <f t="shared" si="395"/>
        <v>86068666.980000004</v>
      </c>
      <c r="H1056" s="42">
        <f>SUM(H901+H920+H947+H955+H962)</f>
        <v>82301310.576637506</v>
      </c>
      <c r="I1056" s="42">
        <f>SUM(I901+I920+I947+I955+I962)</f>
        <v>3767356.4033624954</v>
      </c>
      <c r="J1056" s="20">
        <f t="shared" si="396"/>
        <v>0</v>
      </c>
    </row>
    <row r="1057" spans="1:10" x14ac:dyDescent="0.2">
      <c r="A1057" s="13">
        <f t="shared" si="394"/>
        <v>1057</v>
      </c>
      <c r="B1057" s="4" t="s">
        <v>5</v>
      </c>
      <c r="C1057" s="4" t="s">
        <v>620</v>
      </c>
      <c r="D1057" s="43" t="s">
        <v>5</v>
      </c>
      <c r="E1057" s="44" t="s">
        <v>533</v>
      </c>
      <c r="F1057" s="71"/>
      <c r="G1057" s="46">
        <f t="shared" si="395"/>
        <v>2516377408.3838472</v>
      </c>
      <c r="H1057" s="42">
        <f>SUM(H101+H103+H116+H121+H150+H151+H176)</f>
        <v>2414165808.5422049</v>
      </c>
      <c r="I1057" s="42">
        <f>SUM(I101+I103+I116+I121+I150+I151+I176)</f>
        <v>102211599.84164214</v>
      </c>
      <c r="J1057" s="20">
        <f t="shared" si="396"/>
        <v>0</v>
      </c>
    </row>
    <row r="1058" spans="1:10" x14ac:dyDescent="0.2">
      <c r="A1058" s="13">
        <f t="shared" si="394"/>
        <v>1058</v>
      </c>
      <c r="B1058" s="4" t="s">
        <v>5</v>
      </c>
      <c r="C1058" s="4" t="s">
        <v>621</v>
      </c>
      <c r="D1058" s="43" t="s">
        <v>5</v>
      </c>
      <c r="E1058" s="44" t="s">
        <v>622</v>
      </c>
      <c r="F1058" s="71"/>
      <c r="G1058" s="46">
        <f t="shared" si="395"/>
        <v>260310423.43153882</v>
      </c>
      <c r="H1058" s="42">
        <f t="shared" ref="H1058:I1058" si="397">SUM(H$166+H$167+H$173+H$174)</f>
        <v>249695231.73464891</v>
      </c>
      <c r="I1058" s="42">
        <f t="shared" si="397"/>
        <v>10615191.696889902</v>
      </c>
      <c r="J1058" s="20">
        <f t="shared" si="396"/>
        <v>0</v>
      </c>
    </row>
    <row r="1059" spans="1:10" x14ac:dyDescent="0.2">
      <c r="A1059" s="13">
        <f t="shared" si="394"/>
        <v>1059</v>
      </c>
      <c r="B1059" s="4" t="s">
        <v>5</v>
      </c>
      <c r="C1059" s="4" t="s">
        <v>623</v>
      </c>
      <c r="D1059" s="43" t="s">
        <v>5</v>
      </c>
      <c r="E1059" s="44" t="s">
        <v>624</v>
      </c>
      <c r="F1059" s="71"/>
      <c r="G1059" s="46">
        <f t="shared" si="395"/>
        <v>6021228897.6103086</v>
      </c>
      <c r="H1059" s="42">
        <f>SUM(H105+H144+H162+H176)</f>
        <v>5775689367.7044058</v>
      </c>
      <c r="I1059" s="42">
        <f>SUM(I105+I144+I162+I176)</f>
        <v>245539529.90590256</v>
      </c>
      <c r="J1059" s="20">
        <f t="shared" si="396"/>
        <v>0</v>
      </c>
    </row>
    <row r="1060" spans="1:10" x14ac:dyDescent="0.2">
      <c r="A1060" s="13">
        <f t="shared" si="394"/>
        <v>1060</v>
      </c>
      <c r="B1060" s="4" t="s">
        <v>5</v>
      </c>
      <c r="C1060" s="4" t="s">
        <v>625</v>
      </c>
      <c r="D1060" s="43" t="s">
        <v>5</v>
      </c>
      <c r="E1060" s="44" t="s">
        <v>626</v>
      </c>
      <c r="F1060" s="71"/>
      <c r="G1060" s="46">
        <f t="shared" si="395"/>
        <v>624488652.79543424</v>
      </c>
      <c r="H1060" s="42">
        <f>SUM(H501+H527+H557+H565+H574)</f>
        <v>597302391.3233726</v>
      </c>
      <c r="I1060" s="42">
        <f>SUM(I501+I527+I557+I565+I574)</f>
        <v>27186261.472061604</v>
      </c>
      <c r="J1060" s="20">
        <f t="shared" si="396"/>
        <v>0</v>
      </c>
    </row>
    <row r="1061" spans="1:10" x14ac:dyDescent="0.2">
      <c r="A1061" s="13">
        <f t="shared" si="394"/>
        <v>1061</v>
      </c>
      <c r="B1061" s="4" t="s">
        <v>5</v>
      </c>
      <c r="C1061" s="4" t="s">
        <v>618</v>
      </c>
      <c r="D1061" s="43" t="s">
        <v>5</v>
      </c>
      <c r="E1061" s="44" t="s">
        <v>627</v>
      </c>
      <c r="F1061" s="71"/>
      <c r="G1061" s="46">
        <f t="shared" si="395"/>
        <v>86068666.980000004</v>
      </c>
      <c r="H1061" s="42">
        <f>H1056</f>
        <v>82301310.576637506</v>
      </c>
      <c r="I1061" s="42">
        <f>(I1056)</f>
        <v>3767356.4033624954</v>
      </c>
      <c r="J1061" s="20">
        <f t="shared" si="396"/>
        <v>0</v>
      </c>
    </row>
    <row r="1062" spans="1:10" x14ac:dyDescent="0.2">
      <c r="A1062" s="13">
        <f t="shared" si="394"/>
        <v>1062</v>
      </c>
      <c r="B1062" s="4" t="s">
        <v>5</v>
      </c>
      <c r="C1062" s="4" t="s">
        <v>628</v>
      </c>
      <c r="D1062" s="43" t="s">
        <v>5</v>
      </c>
      <c r="E1062" s="44" t="s">
        <v>629</v>
      </c>
      <c r="F1062" s="71"/>
      <c r="G1062" s="46">
        <f t="shared" si="395"/>
        <v>136842466.30000001</v>
      </c>
      <c r="H1062" s="42">
        <f>SUM(H970:H974,H981:H996,+H1056)</f>
        <v>130855628.11660396</v>
      </c>
      <c r="I1062" s="42">
        <f>SUM(I970:I974,I981:I996,+I1056)</f>
        <v>5986838.1833960498</v>
      </c>
      <c r="J1062" s="20">
        <f t="shared" si="396"/>
        <v>0</v>
      </c>
    </row>
    <row r="1063" spans="1:10" x14ac:dyDescent="0.2">
      <c r="A1063" s="13">
        <f t="shared" si="394"/>
        <v>1063</v>
      </c>
      <c r="B1063" s="4" t="s">
        <v>5</v>
      </c>
      <c r="C1063" s="4" t="s">
        <v>630</v>
      </c>
      <c r="D1063" s="43" t="s">
        <v>5</v>
      </c>
      <c r="E1063" s="44" t="s">
        <v>631</v>
      </c>
      <c r="F1063" s="71"/>
      <c r="G1063" s="46">
        <f t="shared" si="395"/>
        <v>1099875368.9337018</v>
      </c>
      <c r="H1063" s="42">
        <f>SUM(H334:H336,+H356)</f>
        <v>1047193642.1048613</v>
      </c>
      <c r="I1063" s="42">
        <f>SUM(I334:I336,+I356)</f>
        <v>52681726.828840606</v>
      </c>
      <c r="J1063" s="20">
        <f t="shared" si="396"/>
        <v>0</v>
      </c>
    </row>
    <row r="1064" spans="1:10" x14ac:dyDescent="0.2">
      <c r="A1064" s="13">
        <f t="shared" si="394"/>
        <v>1064</v>
      </c>
      <c r="B1064" s="4" t="s">
        <v>5</v>
      </c>
      <c r="C1064" s="4" t="s">
        <v>632</v>
      </c>
      <c r="D1064" s="43" t="s">
        <v>5</v>
      </c>
      <c r="E1064" s="44" t="s">
        <v>633</v>
      </c>
      <c r="F1064" s="71"/>
      <c r="G1064" s="46">
        <f t="shared" si="395"/>
        <v>655134150.96308649</v>
      </c>
      <c r="H1064" s="42">
        <f>SUM(H621-H383-H420-H454)</f>
        <v>624575403.30576181</v>
      </c>
      <c r="I1064" s="42">
        <f>SUM(I621-I383-I420-I454)</f>
        <v>30558747.657324638</v>
      </c>
      <c r="J1064" s="20">
        <f t="shared" si="396"/>
        <v>0</v>
      </c>
    </row>
    <row r="1065" spans="1:10" x14ac:dyDescent="0.2">
      <c r="A1065" s="13">
        <f t="shared" si="394"/>
        <v>1065</v>
      </c>
      <c r="B1065" s="4" t="s">
        <v>5</v>
      </c>
      <c r="C1065" s="4" t="s">
        <v>634</v>
      </c>
      <c r="D1065" s="43" t="s">
        <v>5</v>
      </c>
      <c r="E1065" s="44" t="s">
        <v>635</v>
      </c>
      <c r="F1065" s="71"/>
      <c r="G1065" s="46">
        <f t="shared" si="395"/>
        <v>1041649468.9039001</v>
      </c>
      <c r="H1065" s="42">
        <f>SUM((0.89*H101)+(0.11*H144))</f>
        <v>1000125717.5374388</v>
      </c>
      <c r="I1065" s="42">
        <f>SUM((0.89*I101)+(0.11*I144))</f>
        <v>41523751.366461419</v>
      </c>
      <c r="J1065" s="20">
        <f t="shared" si="396"/>
        <v>0</v>
      </c>
    </row>
    <row r="1066" spans="1:10" x14ac:dyDescent="0.2">
      <c r="A1066" s="13">
        <f t="shared" si="394"/>
        <v>1066</v>
      </c>
      <c r="B1066" s="4" t="s">
        <v>5</v>
      </c>
      <c r="C1066" s="4" t="s">
        <v>636</v>
      </c>
      <c r="D1066" s="43" t="s">
        <v>5</v>
      </c>
      <c r="E1066" s="44" t="s">
        <v>637</v>
      </c>
      <c r="F1066" s="71"/>
      <c r="G1066" s="46">
        <f t="shared" si="395"/>
        <v>783001496.63308632</v>
      </c>
      <c r="H1066" s="42">
        <f>(H621)</f>
        <v>746817824.95303774</v>
      </c>
      <c r="I1066" s="42">
        <f>(I621)</f>
        <v>36183671.680048637</v>
      </c>
      <c r="J1066" s="20">
        <f t="shared" si="396"/>
        <v>0</v>
      </c>
    </row>
    <row r="1067" spans="1:10" x14ac:dyDescent="0.2">
      <c r="A1067" s="13">
        <f t="shared" si="394"/>
        <v>1067</v>
      </c>
      <c r="B1067" s="38" t="str">
        <f>"* * * TABLE 15 - ALLOCATION FACTORS - RATIOS * * *"</f>
        <v>* * * TABLE 15 - ALLOCATION FACTORS - RATIOS * * *</v>
      </c>
      <c r="C1067" s="5"/>
      <c r="D1067" s="21"/>
      <c r="E1067" s="21"/>
      <c r="F1067" s="42"/>
    </row>
    <row r="1068" spans="1:10" x14ac:dyDescent="0.2">
      <c r="A1068" s="13">
        <f t="shared" si="394"/>
        <v>1068</v>
      </c>
      <c r="B1068" s="5"/>
      <c r="C1068" s="5"/>
      <c r="D1068" s="21"/>
      <c r="E1068" s="21"/>
      <c r="F1068" s="42"/>
    </row>
    <row r="1069" spans="1:10" x14ac:dyDescent="0.2">
      <c r="A1069" s="13">
        <f t="shared" si="394"/>
        <v>1069</v>
      </c>
      <c r="B1069" s="8" t="str">
        <f>B1003</f>
        <v>CAPACITY RELATED KW</v>
      </c>
      <c r="C1069" s="8"/>
      <c r="D1069" s="21"/>
      <c r="E1069" s="21"/>
      <c r="F1069" s="42"/>
    </row>
    <row r="1070" spans="1:10" x14ac:dyDescent="0.2">
      <c r="A1070" s="13">
        <f t="shared" si="394"/>
        <v>1070</v>
      </c>
      <c r="B1070" s="8" t="str">
        <f>B1004</f>
        <v/>
      </c>
      <c r="C1070" s="8" t="str">
        <f t="shared" ref="C1070:F1071" si="398">C1004</f>
        <v>PRODUCTION RELATED COINCIDENT PEAKS @ GENERATION LEVEL</v>
      </c>
      <c r="D1070" s="21" t="str">
        <f t="shared" si="398"/>
        <v/>
      </c>
      <c r="E1070" s="8" t="str">
        <f t="shared" si="398"/>
        <v>D10</v>
      </c>
      <c r="F1070" s="42">
        <f t="shared" si="398"/>
        <v>0</v>
      </c>
      <c r="G1070" s="82">
        <f t="shared" ref="G1070:I1073" si="399">G1004/$G1004</f>
        <v>1</v>
      </c>
      <c r="H1070" s="82">
        <f t="shared" si="399"/>
        <v>0.96014598361670445</v>
      </c>
      <c r="I1070" s="82">
        <f t="shared" si="399"/>
        <v>3.9854016383295672E-2</v>
      </c>
    </row>
    <row r="1071" spans="1:10" x14ac:dyDescent="0.2">
      <c r="A1071" s="13">
        <f t="shared" si="394"/>
        <v>1071</v>
      </c>
      <c r="B1071" s="8" t="str">
        <f>B1005</f>
        <v/>
      </c>
      <c r="C1071" s="8" t="str">
        <f t="shared" si="398"/>
        <v>SYSTEM TRANSMISSION SERVICE @ GENERATION LEVEL</v>
      </c>
      <c r="D1071" s="21" t="str">
        <f t="shared" si="398"/>
        <v/>
      </c>
      <c r="E1071" s="8" t="str">
        <f t="shared" si="398"/>
        <v>D11</v>
      </c>
      <c r="F1071" s="42">
        <f t="shared" si="398"/>
        <v>0</v>
      </c>
      <c r="G1071" s="82">
        <f t="shared" si="399"/>
        <v>1</v>
      </c>
      <c r="H1071" s="82">
        <f t="shared" si="399"/>
        <v>0.96014598361670445</v>
      </c>
      <c r="I1071" s="82">
        <f t="shared" si="399"/>
        <v>3.9854016383295672E-2</v>
      </c>
    </row>
    <row r="1072" spans="1:10" x14ac:dyDescent="0.2">
      <c r="A1072" s="13">
        <f t="shared" si="394"/>
        <v>1072</v>
      </c>
      <c r="B1072" s="8"/>
      <c r="C1072" s="4" t="s">
        <v>539</v>
      </c>
      <c r="D1072" s="65"/>
      <c r="E1072" s="83" t="s">
        <v>540</v>
      </c>
      <c r="F1072" s="42"/>
      <c r="G1072" s="82">
        <f t="shared" si="399"/>
        <v>1</v>
      </c>
      <c r="H1072" s="82">
        <f t="shared" si="399"/>
        <v>0.96014598361670445</v>
      </c>
      <c r="I1072" s="82">
        <f t="shared" si="399"/>
        <v>3.9854016383295672E-2</v>
      </c>
    </row>
    <row r="1073" spans="1:9" x14ac:dyDescent="0.2">
      <c r="A1073" s="13">
        <f t="shared" si="394"/>
        <v>1073</v>
      </c>
      <c r="B1073" s="8" t="str">
        <f>B1007</f>
        <v/>
      </c>
      <c r="C1073" s="8" t="str">
        <f>C1007</f>
        <v>DISTRIBUTION SERVICE @ GENERATION LEVEL</v>
      </c>
      <c r="D1073" s="21" t="str">
        <f>D1007</f>
        <v/>
      </c>
      <c r="E1073" s="8" t="str">
        <f>E1007</f>
        <v>D60</v>
      </c>
      <c r="F1073" s="42">
        <f>F1007</f>
        <v>0</v>
      </c>
      <c r="G1073" s="82">
        <f t="shared" si="399"/>
        <v>1</v>
      </c>
      <c r="H1073" s="82">
        <f t="shared" si="399"/>
        <v>0.96335447993099177</v>
      </c>
      <c r="I1073" s="82">
        <f t="shared" si="399"/>
        <v>3.6645520069008265E-2</v>
      </c>
    </row>
    <row r="1074" spans="1:9" x14ac:dyDescent="0.2">
      <c r="A1074" s="13">
        <f t="shared" si="394"/>
        <v>1074</v>
      </c>
      <c r="B1074" s="8"/>
      <c r="C1074" s="8"/>
      <c r="D1074" s="21"/>
      <c r="E1074" s="8"/>
      <c r="F1074" s="42"/>
    </row>
    <row r="1075" spans="1:9" x14ac:dyDescent="0.2">
      <c r="A1075" s="13">
        <f t="shared" si="394"/>
        <v>1075</v>
      </c>
      <c r="B1075" s="8" t="str">
        <f>B1009</f>
        <v>ENERGY RELATED MWH</v>
      </c>
      <c r="C1075" s="8"/>
      <c r="D1075" s="21"/>
      <c r="E1075" s="8"/>
      <c r="F1075" s="42"/>
    </row>
    <row r="1076" spans="1:9" x14ac:dyDescent="0.2">
      <c r="A1076" s="13">
        <f t="shared" si="394"/>
        <v>1076</v>
      </c>
      <c r="B1076" s="8" t="str">
        <f>B1010</f>
        <v/>
      </c>
      <c r="C1076" s="8" t="str">
        <f t="shared" ref="C1076:F1078" si="400">C1010</f>
        <v>GENERATION LEVEL (PSP)</v>
      </c>
      <c r="D1076" s="21" t="str">
        <f t="shared" si="400"/>
        <v/>
      </c>
      <c r="E1076" s="8" t="str">
        <f t="shared" si="400"/>
        <v>E10</v>
      </c>
      <c r="F1076" s="42">
        <f t="shared" si="400"/>
        <v>0</v>
      </c>
      <c r="G1076" s="82">
        <f t="shared" ref="G1076:I1078" si="401">G1010/$G1010</f>
        <v>1</v>
      </c>
      <c r="H1076" s="82">
        <f t="shared" si="401"/>
        <v>0.95581734432896281</v>
      </c>
      <c r="I1076" s="82">
        <f t="shared" si="401"/>
        <v>4.4182655671037192E-2</v>
      </c>
    </row>
    <row r="1077" spans="1:9" x14ac:dyDescent="0.2">
      <c r="A1077" s="13">
        <f t="shared" si="394"/>
        <v>1077</v>
      </c>
      <c r="B1077" s="8"/>
      <c r="C1077" s="8" t="str">
        <f t="shared" si="400"/>
        <v>RETAIL MWH AT GENERATION LVL</v>
      </c>
      <c r="D1077" s="21"/>
      <c r="E1077" s="8" t="str">
        <f t="shared" si="400"/>
        <v>E100</v>
      </c>
      <c r="F1077" s="42">
        <f t="shared" si="400"/>
        <v>0</v>
      </c>
      <c r="G1077" s="82">
        <f t="shared" si="401"/>
        <v>1</v>
      </c>
      <c r="H1077" s="82">
        <f t="shared" si="401"/>
        <v>0.95581734432896281</v>
      </c>
      <c r="I1077" s="82">
        <f t="shared" si="401"/>
        <v>4.4182655671037192E-2</v>
      </c>
    </row>
    <row r="1078" spans="1:9" x14ac:dyDescent="0.2">
      <c r="A1078" s="13">
        <f t="shared" si="394"/>
        <v>1078</v>
      </c>
      <c r="B1078" s="8" t="str">
        <f>B1012</f>
        <v/>
      </c>
      <c r="C1078" s="8" t="str">
        <f t="shared" si="400"/>
        <v>CUSTOMER LEVEL</v>
      </c>
      <c r="D1078" s="21" t="str">
        <f t="shared" si="400"/>
        <v/>
      </c>
      <c r="E1078" s="8" t="str">
        <f t="shared" si="400"/>
        <v>E99</v>
      </c>
      <c r="F1078" s="42">
        <f t="shared" si="400"/>
        <v>0</v>
      </c>
      <c r="G1078" s="82">
        <f t="shared" si="401"/>
        <v>1</v>
      </c>
      <c r="H1078" s="82">
        <f t="shared" si="401"/>
        <v>0.95548238879059844</v>
      </c>
      <c r="I1078" s="82">
        <f t="shared" si="401"/>
        <v>4.4517611209401536E-2</v>
      </c>
    </row>
    <row r="1079" spans="1:9" x14ac:dyDescent="0.2">
      <c r="A1079" s="13">
        <f t="shared" si="394"/>
        <v>1079</v>
      </c>
      <c r="B1079" s="8" t="str">
        <f>B1013</f>
        <v/>
      </c>
      <c r="C1079" s="8"/>
      <c r="D1079" s="21"/>
      <c r="E1079" s="8"/>
      <c r="F1079" s="42"/>
    </row>
    <row r="1080" spans="1:9" x14ac:dyDescent="0.2">
      <c r="A1080" s="13">
        <f t="shared" si="394"/>
        <v>1080</v>
      </c>
      <c r="B1080" s="8" t="str">
        <f>B1014</f>
        <v>CUSTOMER RELATED FACTORS</v>
      </c>
      <c r="C1080" s="8"/>
      <c r="D1080" s="21"/>
      <c r="E1080" s="8"/>
      <c r="F1080" s="42"/>
    </row>
    <row r="1081" spans="1:9" x14ac:dyDescent="0.2">
      <c r="A1081" s="13">
        <f t="shared" si="394"/>
        <v>1081</v>
      </c>
      <c r="B1081" s="8"/>
      <c r="C1081" s="8" t="str">
        <f t="shared" ref="C1081:F1086" si="402">C1015</f>
        <v>369-DIRECT ASSIGNMENT</v>
      </c>
      <c r="D1081" s="21" t="str">
        <f t="shared" si="402"/>
        <v/>
      </c>
      <c r="E1081" s="8" t="str">
        <f t="shared" si="402"/>
        <v>DA369</v>
      </c>
      <c r="F1081" s="42">
        <f t="shared" si="402"/>
        <v>0</v>
      </c>
      <c r="G1081" s="82">
        <f t="shared" ref="G1081:I1086" si="403">G1015/$G1015</f>
        <v>1</v>
      </c>
      <c r="H1081" s="82">
        <f t="shared" si="403"/>
        <v>0.9578654921919969</v>
      </c>
      <c r="I1081" s="82">
        <f t="shared" si="403"/>
        <v>4.2134507808003159E-2</v>
      </c>
    </row>
    <row r="1082" spans="1:9" x14ac:dyDescent="0.2">
      <c r="A1082" s="13">
        <f t="shared" si="394"/>
        <v>1082</v>
      </c>
      <c r="B1082" s="8"/>
      <c r="C1082" s="8" t="str">
        <f t="shared" si="402"/>
        <v>370-METER INVESTMENT</v>
      </c>
      <c r="D1082" s="21" t="str">
        <f t="shared" si="402"/>
        <v/>
      </c>
      <c r="E1082" s="8" t="str">
        <f t="shared" si="402"/>
        <v>ACCT370</v>
      </c>
      <c r="F1082" s="42">
        <f t="shared" si="402"/>
        <v>0</v>
      </c>
      <c r="G1082" s="82">
        <f t="shared" si="403"/>
        <v>1</v>
      </c>
      <c r="H1082" s="82">
        <f t="shared" si="403"/>
        <v>0.96667257982410248</v>
      </c>
      <c r="I1082" s="82">
        <f t="shared" si="403"/>
        <v>3.3327420175897619E-2</v>
      </c>
    </row>
    <row r="1083" spans="1:9" x14ac:dyDescent="0.2">
      <c r="A1083" s="13">
        <f t="shared" si="394"/>
        <v>1083</v>
      </c>
      <c r="B1083" s="8"/>
      <c r="C1083" s="8" t="str">
        <f t="shared" si="402"/>
        <v>902-CUSTOMER WEIGHTED</v>
      </c>
      <c r="D1083" s="21" t="str">
        <f t="shared" si="402"/>
        <v/>
      </c>
      <c r="E1083" s="8" t="str">
        <f t="shared" si="402"/>
        <v>CW902</v>
      </c>
      <c r="F1083" s="42">
        <f t="shared" si="402"/>
        <v>0</v>
      </c>
      <c r="G1083" s="82">
        <f t="shared" si="403"/>
        <v>1</v>
      </c>
      <c r="H1083" s="82">
        <f t="shared" si="403"/>
        <v>0.82026389279651191</v>
      </c>
      <c r="I1083" s="82">
        <f t="shared" si="403"/>
        <v>0.17973610720348812</v>
      </c>
    </row>
    <row r="1084" spans="1:9" x14ac:dyDescent="0.2">
      <c r="A1084" s="13">
        <f t="shared" si="394"/>
        <v>1084</v>
      </c>
      <c r="B1084" s="8"/>
      <c r="C1084" s="8" t="str">
        <f t="shared" si="402"/>
        <v>903-CUSTOMER WEIGHTED</v>
      </c>
      <c r="D1084" s="21" t="str">
        <f t="shared" si="402"/>
        <v/>
      </c>
      <c r="E1084" s="8" t="str">
        <f t="shared" si="402"/>
        <v>CW903</v>
      </c>
      <c r="F1084" s="42">
        <f t="shared" si="402"/>
        <v>0</v>
      </c>
      <c r="G1084" s="82">
        <f t="shared" si="403"/>
        <v>1</v>
      </c>
      <c r="H1084" s="82">
        <f t="shared" si="403"/>
        <v>0.96731137305904513</v>
      </c>
      <c r="I1084" s="82">
        <f t="shared" si="403"/>
        <v>3.2688626940954861E-2</v>
      </c>
    </row>
    <row r="1085" spans="1:9" x14ac:dyDescent="0.2">
      <c r="A1085" s="13">
        <f t="shared" si="394"/>
        <v>1085</v>
      </c>
      <c r="B1085" s="8"/>
      <c r="C1085" s="8" t="str">
        <f t="shared" si="402"/>
        <v>904-CUSTOMER WEIGHTED</v>
      </c>
      <c r="D1085" s="21" t="str">
        <f t="shared" si="402"/>
        <v/>
      </c>
      <c r="E1085" s="8" t="str">
        <f t="shared" si="402"/>
        <v>CW904</v>
      </c>
      <c r="F1085" s="42">
        <f t="shared" si="402"/>
        <v>0</v>
      </c>
      <c r="G1085" s="82">
        <f t="shared" si="403"/>
        <v>1</v>
      </c>
      <c r="H1085" s="82">
        <f t="shared" si="403"/>
        <v>0.92842475901924082</v>
      </c>
      <c r="I1085" s="82">
        <f t="shared" si="403"/>
        <v>7.1575240980759125E-2</v>
      </c>
    </row>
    <row r="1086" spans="1:9" x14ac:dyDescent="0.2">
      <c r="A1086" s="13">
        <f t="shared" si="394"/>
        <v>1086</v>
      </c>
      <c r="B1086" s="8"/>
      <c r="C1086" s="8" t="str">
        <f t="shared" si="402"/>
        <v>909-DIRECT ASSIGN-AVG.NO.CUST.</v>
      </c>
      <c r="D1086" s="21" t="str">
        <f t="shared" si="402"/>
        <v/>
      </c>
      <c r="E1086" s="8" t="str">
        <f t="shared" si="402"/>
        <v>DA909</v>
      </c>
      <c r="F1086" s="42">
        <f t="shared" si="402"/>
        <v>0</v>
      </c>
      <c r="G1086" s="82">
        <f t="shared" si="403"/>
        <v>1</v>
      </c>
      <c r="H1086" s="82">
        <f t="shared" si="403"/>
        <v>0.96730517280957629</v>
      </c>
      <c r="I1086" s="82">
        <f t="shared" si="403"/>
        <v>3.2694827190423673E-2</v>
      </c>
    </row>
    <row r="1087" spans="1:9" x14ac:dyDescent="0.2">
      <c r="A1087" s="13">
        <f t="shared" si="394"/>
        <v>1087</v>
      </c>
      <c r="B1087" s="84" t="str">
        <f>"* * * TABLE 15 - ALLOCATION FACTORS - RATIOS * * *"</f>
        <v>* * * TABLE 15 - ALLOCATION FACTORS - RATIOS * * *</v>
      </c>
      <c r="C1087" s="8"/>
      <c r="D1087" s="21"/>
      <c r="E1087" s="8"/>
      <c r="F1087" s="42"/>
    </row>
    <row r="1088" spans="1:9" x14ac:dyDescent="0.2">
      <c r="A1088" s="13">
        <f t="shared" si="394"/>
        <v>1088</v>
      </c>
      <c r="B1088" s="8"/>
      <c r="C1088" s="8"/>
      <c r="D1088" s="21"/>
      <c r="E1088" s="8"/>
      <c r="F1088" s="42"/>
    </row>
    <row r="1089" spans="1:9" x14ac:dyDescent="0.2">
      <c r="A1089" s="13">
        <f t="shared" si="394"/>
        <v>1089</v>
      </c>
      <c r="B1089" s="8" t="str">
        <f>B1023</f>
        <v>DIRECT ASSIGNMENTS</v>
      </c>
      <c r="C1089" s="8"/>
      <c r="D1089" s="21"/>
      <c r="E1089" s="8"/>
      <c r="F1089" s="42"/>
    </row>
    <row r="1090" spans="1:9" x14ac:dyDescent="0.2">
      <c r="A1090" s="13">
        <f t="shared" si="394"/>
        <v>1090</v>
      </c>
      <c r="B1090" s="8"/>
      <c r="C1090" s="8" t="str">
        <f t="shared" ref="C1090:F1105" si="404">C1024</f>
        <v>252-CUSTOMER ADVANCES</v>
      </c>
      <c r="D1090" s="21" t="str">
        <f t="shared" si="404"/>
        <v/>
      </c>
      <c r="E1090" s="8" t="str">
        <f t="shared" si="404"/>
        <v>DA252</v>
      </c>
      <c r="F1090" s="42">
        <f t="shared" si="404"/>
        <v>0</v>
      </c>
      <c r="G1090" s="82">
        <f t="shared" ref="G1090:I1105" si="405">G1024/$G1024</f>
        <v>1</v>
      </c>
      <c r="H1090" s="82">
        <f t="shared" si="405"/>
        <v>0.99174249486087585</v>
      </c>
      <c r="I1090" s="82">
        <f t="shared" si="405"/>
        <v>8.2575051391241966E-3</v>
      </c>
    </row>
    <row r="1091" spans="1:9" x14ac:dyDescent="0.2">
      <c r="A1091" s="13">
        <f t="shared" ref="A1091:A1129" si="406">A1090+1</f>
        <v>1091</v>
      </c>
      <c r="B1091" s="8"/>
      <c r="C1091" s="8" t="str">
        <f t="shared" si="404"/>
        <v>350-LAND &amp; LAND RIGHTS</v>
      </c>
      <c r="D1091" s="21" t="str">
        <f t="shared" si="404"/>
        <v/>
      </c>
      <c r="E1091" s="8" t="str">
        <f t="shared" si="404"/>
        <v>DA350</v>
      </c>
      <c r="F1091" s="42">
        <f t="shared" si="404"/>
        <v>0</v>
      </c>
      <c r="G1091" s="82" t="e">
        <f t="shared" si="405"/>
        <v>#DIV/0!</v>
      </c>
      <c r="H1091" s="82" t="e">
        <f t="shared" si="405"/>
        <v>#DIV/0!</v>
      </c>
      <c r="I1091" s="82" t="e">
        <f t="shared" si="405"/>
        <v>#DIV/0!</v>
      </c>
    </row>
    <row r="1092" spans="1:9" x14ac:dyDescent="0.2">
      <c r="A1092" s="13">
        <f t="shared" si="406"/>
        <v>1092</v>
      </c>
      <c r="B1092" s="8"/>
      <c r="C1092" s="8" t="str">
        <f t="shared" si="404"/>
        <v>352-STRUCTURES &amp; IMPROVEMENTS</v>
      </c>
      <c r="D1092" s="21" t="str">
        <f t="shared" si="404"/>
        <v/>
      </c>
      <c r="E1092" s="8" t="str">
        <f t="shared" si="404"/>
        <v>DA352</v>
      </c>
      <c r="F1092" s="42">
        <f t="shared" si="404"/>
        <v>0</v>
      </c>
      <c r="G1092" s="82">
        <f t="shared" si="405"/>
        <v>1</v>
      </c>
      <c r="H1092" s="82">
        <f t="shared" si="405"/>
        <v>0</v>
      </c>
      <c r="I1092" s="82">
        <f t="shared" si="405"/>
        <v>1</v>
      </c>
    </row>
    <row r="1093" spans="1:9" x14ac:dyDescent="0.2">
      <c r="A1093" s="13">
        <f t="shared" si="406"/>
        <v>1093</v>
      </c>
      <c r="B1093" s="8"/>
      <c r="C1093" s="8" t="str">
        <f t="shared" si="404"/>
        <v>353-STATION EQUIPMENT</v>
      </c>
      <c r="D1093" s="21" t="str">
        <f t="shared" si="404"/>
        <v/>
      </c>
      <c r="E1093" s="8" t="str">
        <f t="shared" si="404"/>
        <v>DA353</v>
      </c>
      <c r="F1093" s="42">
        <f t="shared" si="404"/>
        <v>0</v>
      </c>
      <c r="G1093" s="82">
        <f t="shared" si="405"/>
        <v>1</v>
      </c>
      <c r="H1093" s="82">
        <f t="shared" si="405"/>
        <v>0.67297524956538879</v>
      </c>
      <c r="I1093" s="82">
        <f t="shared" si="405"/>
        <v>0.32702475043461116</v>
      </c>
    </row>
    <row r="1094" spans="1:9" x14ac:dyDescent="0.2">
      <c r="A1094" s="13">
        <f t="shared" si="406"/>
        <v>1094</v>
      </c>
      <c r="B1094" s="8"/>
      <c r="C1094" s="8" t="str">
        <f t="shared" si="404"/>
        <v>354-TOWERS &amp; FIXTURES</v>
      </c>
      <c r="D1094" s="21" t="str">
        <f t="shared" si="404"/>
        <v/>
      </c>
      <c r="E1094" s="8" t="str">
        <f t="shared" si="404"/>
        <v>DA354</v>
      </c>
      <c r="F1094" s="42">
        <f t="shared" si="404"/>
        <v>0</v>
      </c>
      <c r="G1094" s="82" t="e">
        <f t="shared" si="405"/>
        <v>#DIV/0!</v>
      </c>
      <c r="H1094" s="82" t="e">
        <f t="shared" si="405"/>
        <v>#DIV/0!</v>
      </c>
      <c r="I1094" s="82" t="e">
        <f t="shared" si="405"/>
        <v>#DIV/0!</v>
      </c>
    </row>
    <row r="1095" spans="1:9" x14ac:dyDescent="0.2">
      <c r="A1095" s="13">
        <f t="shared" si="406"/>
        <v>1095</v>
      </c>
      <c r="B1095" s="8"/>
      <c r="C1095" s="8" t="str">
        <f t="shared" si="404"/>
        <v>355-POLES &amp; FIXTURES</v>
      </c>
      <c r="D1095" s="21" t="str">
        <f t="shared" si="404"/>
        <v/>
      </c>
      <c r="E1095" s="8" t="str">
        <f t="shared" si="404"/>
        <v>DA355</v>
      </c>
      <c r="F1095" s="42">
        <f t="shared" si="404"/>
        <v>0</v>
      </c>
      <c r="G1095" s="82">
        <f t="shared" si="405"/>
        <v>1</v>
      </c>
      <c r="H1095" s="82">
        <f t="shared" si="405"/>
        <v>0</v>
      </c>
      <c r="I1095" s="82">
        <f t="shared" si="405"/>
        <v>1</v>
      </c>
    </row>
    <row r="1096" spans="1:9" x14ac:dyDescent="0.2">
      <c r="A1096" s="13">
        <f t="shared" si="406"/>
        <v>1096</v>
      </c>
      <c r="B1096" s="8"/>
      <c r="C1096" s="8" t="str">
        <f t="shared" si="404"/>
        <v>356-OVERHEAD CONDUCTORS &amp; DEVICES</v>
      </c>
      <c r="D1096" s="21" t="str">
        <f t="shared" si="404"/>
        <v/>
      </c>
      <c r="E1096" s="8" t="str">
        <f t="shared" si="404"/>
        <v>DA356</v>
      </c>
      <c r="F1096" s="42">
        <f t="shared" si="404"/>
        <v>0</v>
      </c>
      <c r="G1096" s="82">
        <f t="shared" si="405"/>
        <v>1</v>
      </c>
      <c r="H1096" s="82">
        <f t="shared" si="405"/>
        <v>4.487639177203246E-2</v>
      </c>
      <c r="I1096" s="82">
        <f t="shared" si="405"/>
        <v>0.95512360822796749</v>
      </c>
    </row>
    <row r="1097" spans="1:9" x14ac:dyDescent="0.2">
      <c r="A1097" s="13">
        <f t="shared" si="406"/>
        <v>1097</v>
      </c>
      <c r="B1097" s="8"/>
      <c r="C1097" s="8" t="str">
        <f t="shared" si="404"/>
        <v>359-ROADS &amp; TRAILS</v>
      </c>
      <c r="D1097" s="21" t="str">
        <f t="shared" si="404"/>
        <v/>
      </c>
      <c r="E1097" s="8" t="str">
        <f t="shared" si="404"/>
        <v>DA359</v>
      </c>
      <c r="F1097" s="42">
        <f t="shared" si="404"/>
        <v>0</v>
      </c>
      <c r="G1097" s="82" t="e">
        <f t="shared" si="405"/>
        <v>#DIV/0!</v>
      </c>
      <c r="H1097" s="82" t="e">
        <f t="shared" si="405"/>
        <v>#DIV/0!</v>
      </c>
      <c r="I1097" s="82" t="e">
        <f t="shared" si="405"/>
        <v>#DIV/0!</v>
      </c>
    </row>
    <row r="1098" spans="1:9" x14ac:dyDescent="0.2">
      <c r="A1098" s="13">
        <f t="shared" si="406"/>
        <v>1098</v>
      </c>
      <c r="B1098" s="8"/>
      <c r="C1098" s="8" t="str">
        <f t="shared" si="404"/>
        <v>360-LAND &amp; LAND RIGHTS</v>
      </c>
      <c r="D1098" s="21" t="str">
        <f t="shared" si="404"/>
        <v/>
      </c>
      <c r="E1098" s="8" t="str">
        <f t="shared" si="404"/>
        <v>ACCT360</v>
      </c>
      <c r="F1098" s="42">
        <f t="shared" si="404"/>
        <v>0</v>
      </c>
      <c r="G1098" s="82">
        <f t="shared" si="405"/>
        <v>1</v>
      </c>
      <c r="H1098" s="82">
        <f t="shared" si="405"/>
        <v>0.97561686950188198</v>
      </c>
      <c r="I1098" s="82">
        <f t="shared" si="405"/>
        <v>2.4383130498118067E-2</v>
      </c>
    </row>
    <row r="1099" spans="1:9" x14ac:dyDescent="0.2">
      <c r="A1099" s="13">
        <f t="shared" si="406"/>
        <v>1099</v>
      </c>
      <c r="B1099" s="8"/>
      <c r="C1099" s="8" t="str">
        <f t="shared" si="404"/>
        <v>361-STRUCTURES &amp; IMPROVEMENTS</v>
      </c>
      <c r="D1099" s="21" t="str">
        <f t="shared" si="404"/>
        <v/>
      </c>
      <c r="E1099" s="8" t="str">
        <f t="shared" si="404"/>
        <v>ACCT361</v>
      </c>
      <c r="F1099" s="42">
        <f t="shared" si="404"/>
        <v>0</v>
      </c>
      <c r="G1099" s="82">
        <f t="shared" si="405"/>
        <v>1</v>
      </c>
      <c r="H1099" s="82">
        <f t="shared" si="405"/>
        <v>0.94952060065258626</v>
      </c>
      <c r="I1099" s="82">
        <f t="shared" si="405"/>
        <v>5.0479399347413779E-2</v>
      </c>
    </row>
    <row r="1100" spans="1:9" x14ac:dyDescent="0.2">
      <c r="A1100" s="13">
        <f t="shared" si="406"/>
        <v>1100</v>
      </c>
      <c r="B1100" s="8"/>
      <c r="C1100" s="8" t="str">
        <f t="shared" si="404"/>
        <v>362-STATION EQUIPMENT</v>
      </c>
      <c r="D1100" s="21" t="str">
        <f t="shared" si="404"/>
        <v/>
      </c>
      <c r="E1100" s="8" t="str">
        <f t="shared" si="404"/>
        <v>ACCT362</v>
      </c>
      <c r="F1100" s="42">
        <f t="shared" si="404"/>
        <v>0</v>
      </c>
      <c r="G1100" s="82">
        <f t="shared" si="405"/>
        <v>1</v>
      </c>
      <c r="H1100" s="82">
        <f t="shared" si="405"/>
        <v>0.95695346453797592</v>
      </c>
      <c r="I1100" s="82">
        <f t="shared" si="405"/>
        <v>4.3046535462024076E-2</v>
      </c>
    </row>
    <row r="1101" spans="1:9" x14ac:dyDescent="0.2">
      <c r="A1101" s="13">
        <f t="shared" si="406"/>
        <v>1101</v>
      </c>
      <c r="B1101" s="8"/>
      <c r="C1101" s="8" t="str">
        <f t="shared" si="404"/>
        <v>364-POLES, TOWERS &amp; FIXTURES</v>
      </c>
      <c r="D1101" s="21" t="str">
        <f t="shared" si="404"/>
        <v/>
      </c>
      <c r="E1101" s="8" t="str">
        <f t="shared" si="404"/>
        <v>DA364</v>
      </c>
      <c r="F1101" s="42">
        <f t="shared" si="404"/>
        <v>0</v>
      </c>
      <c r="G1101" s="82">
        <f t="shared" si="405"/>
        <v>1</v>
      </c>
      <c r="H1101" s="82">
        <f t="shared" si="405"/>
        <v>0.91972380863938474</v>
      </c>
      <c r="I1101" s="82">
        <f t="shared" si="405"/>
        <v>8.027619136061534E-2</v>
      </c>
    </row>
    <row r="1102" spans="1:9" x14ac:dyDescent="0.2">
      <c r="A1102" s="13">
        <f t="shared" si="406"/>
        <v>1102</v>
      </c>
      <c r="B1102" s="8"/>
      <c r="C1102" s="8" t="str">
        <f t="shared" si="404"/>
        <v>365-OVERHEAD CONDUCTORS &amp; DEVICES</v>
      </c>
      <c r="D1102" s="21" t="str">
        <f t="shared" si="404"/>
        <v/>
      </c>
      <c r="E1102" s="8" t="str">
        <f t="shared" si="404"/>
        <v>DA365</v>
      </c>
      <c r="F1102" s="42">
        <f t="shared" si="404"/>
        <v>0</v>
      </c>
      <c r="G1102" s="82">
        <f t="shared" si="405"/>
        <v>1</v>
      </c>
      <c r="H1102" s="82">
        <f t="shared" si="405"/>
        <v>0.93872183812743748</v>
      </c>
      <c r="I1102" s="82">
        <f t="shared" si="405"/>
        <v>6.1278161872562562E-2</v>
      </c>
    </row>
    <row r="1103" spans="1:9" x14ac:dyDescent="0.2">
      <c r="A1103" s="13">
        <f t="shared" si="406"/>
        <v>1103</v>
      </c>
      <c r="B1103" s="8"/>
      <c r="C1103" s="8" t="str">
        <f t="shared" si="404"/>
        <v>366-UNDERGROUND CONDUIT</v>
      </c>
      <c r="D1103" s="21" t="str">
        <f t="shared" si="404"/>
        <v/>
      </c>
      <c r="E1103" s="8" t="str">
        <f t="shared" si="404"/>
        <v>DA366</v>
      </c>
      <c r="F1103" s="42">
        <f t="shared" si="404"/>
        <v>0</v>
      </c>
      <c r="G1103" s="82">
        <f t="shared" si="405"/>
        <v>1</v>
      </c>
      <c r="H1103" s="82">
        <f t="shared" si="405"/>
        <v>0.98483774691868953</v>
      </c>
      <c r="I1103" s="82">
        <f t="shared" si="405"/>
        <v>1.51622530813104E-2</v>
      </c>
    </row>
    <row r="1104" spans="1:9" x14ac:dyDescent="0.2">
      <c r="A1104" s="13">
        <f t="shared" si="406"/>
        <v>1104</v>
      </c>
      <c r="B1104" s="8"/>
      <c r="C1104" s="8" t="str">
        <f t="shared" si="404"/>
        <v>367-UNDERGROUND CONDUCTORS &amp; DEVICES</v>
      </c>
      <c r="D1104" s="21" t="str">
        <f t="shared" si="404"/>
        <v/>
      </c>
      <c r="E1104" s="8" t="str">
        <f t="shared" si="404"/>
        <v>DA367</v>
      </c>
      <c r="F1104" s="42">
        <f t="shared" si="404"/>
        <v>0</v>
      </c>
      <c r="G1104" s="82">
        <f t="shared" si="405"/>
        <v>1</v>
      </c>
      <c r="H1104" s="82">
        <f t="shared" si="405"/>
        <v>0.98494015838208226</v>
      </c>
      <c r="I1104" s="82">
        <f t="shared" si="405"/>
        <v>1.5059841617917647E-2</v>
      </c>
    </row>
    <row r="1105" spans="1:19" x14ac:dyDescent="0.2">
      <c r="A1105" s="13">
        <f t="shared" si="406"/>
        <v>1105</v>
      </c>
      <c r="B1105" s="8"/>
      <c r="C1105" s="8" t="str">
        <f t="shared" si="404"/>
        <v>371-INSTALLATIONS ON CUSTOMER PREMISES</v>
      </c>
      <c r="D1105" s="21" t="str">
        <f t="shared" si="404"/>
        <v/>
      </c>
      <c r="E1105" s="8" t="str">
        <f t="shared" si="404"/>
        <v>DA371</v>
      </c>
      <c r="F1105" s="42">
        <f t="shared" si="404"/>
        <v>0</v>
      </c>
      <c r="G1105" s="82">
        <f t="shared" si="405"/>
        <v>1</v>
      </c>
      <c r="H1105" s="82">
        <f t="shared" si="405"/>
        <v>0.93988800392093252</v>
      </c>
      <c r="I1105" s="82">
        <f t="shared" si="405"/>
        <v>6.0111996079067392E-2</v>
      </c>
    </row>
    <row r="1106" spans="1:19" x14ac:dyDescent="0.2">
      <c r="A1106" s="13">
        <f t="shared" si="406"/>
        <v>1106</v>
      </c>
      <c r="B1106" s="8"/>
      <c r="C1106" s="8" t="str">
        <f t="shared" ref="C1106:F1111" si="407">C1040</f>
        <v>373-STREET LIGHTING SYSTEMS</v>
      </c>
      <c r="D1106" s="21" t="str">
        <f t="shared" si="407"/>
        <v/>
      </c>
      <c r="E1106" s="8" t="str">
        <f t="shared" si="407"/>
        <v>DA373</v>
      </c>
      <c r="F1106" s="42">
        <f t="shared" si="407"/>
        <v>0</v>
      </c>
      <c r="G1106" s="82">
        <f t="shared" ref="G1106:I1111" si="408">G1040/$G1040</f>
        <v>1</v>
      </c>
      <c r="H1106" s="82">
        <f t="shared" si="408"/>
        <v>0.95637853697532915</v>
      </c>
      <c r="I1106" s="82">
        <f t="shared" si="408"/>
        <v>4.3621463024670959E-2</v>
      </c>
    </row>
    <row r="1107" spans="1:19" x14ac:dyDescent="0.2">
      <c r="A1107" s="13">
        <f t="shared" si="406"/>
        <v>1107</v>
      </c>
      <c r="B1107" s="8"/>
      <c r="C1107" s="8" t="str">
        <f t="shared" si="407"/>
        <v xml:space="preserve">451-REVENUE - MISCELLANEOUS SERVICE </v>
      </c>
      <c r="D1107" s="21" t="str">
        <f t="shared" si="407"/>
        <v/>
      </c>
      <c r="E1107" s="8" t="str">
        <f t="shared" si="407"/>
        <v>DA451</v>
      </c>
      <c r="F1107" s="42">
        <f t="shared" si="407"/>
        <v>0</v>
      </c>
      <c r="G1107" s="82">
        <f t="shared" si="408"/>
        <v>1</v>
      </c>
      <c r="H1107" s="82">
        <f t="shared" si="408"/>
        <v>0.99083334552620184</v>
      </c>
      <c r="I1107" s="82">
        <f t="shared" si="408"/>
        <v>9.1666544737980457E-3</v>
      </c>
    </row>
    <row r="1108" spans="1:19" x14ac:dyDescent="0.2">
      <c r="A1108" s="13">
        <f t="shared" si="406"/>
        <v>1108</v>
      </c>
      <c r="B1108" s="8"/>
      <c r="C1108" s="8" t="str">
        <f t="shared" si="407"/>
        <v>454-REVENUE - FACILITIES CHARGE</v>
      </c>
      <c r="D1108" s="21" t="str">
        <f t="shared" si="407"/>
        <v/>
      </c>
      <c r="E1108" s="8" t="str">
        <f t="shared" si="407"/>
        <v>DA454</v>
      </c>
      <c r="F1108" s="42">
        <f t="shared" si="407"/>
        <v>0</v>
      </c>
      <c r="G1108" s="82">
        <f t="shared" si="408"/>
        <v>1</v>
      </c>
      <c r="H1108" s="82">
        <f t="shared" si="408"/>
        <v>0.95915828793648006</v>
      </c>
      <c r="I1108" s="82">
        <f t="shared" si="408"/>
        <v>4.0841712063520039E-2</v>
      </c>
    </row>
    <row r="1109" spans="1:19" x14ac:dyDescent="0.2">
      <c r="A1109" s="13">
        <f t="shared" si="406"/>
        <v>1109</v>
      </c>
      <c r="B1109" s="8"/>
      <c r="C1109" s="8" t="str">
        <f t="shared" si="407"/>
        <v>908-OTHER CUSTOMER ASSISTANCE</v>
      </c>
      <c r="D1109" s="21" t="str">
        <f t="shared" si="407"/>
        <v/>
      </c>
      <c r="E1109" s="8" t="str">
        <f t="shared" si="407"/>
        <v>DA908</v>
      </c>
      <c r="F1109" s="42">
        <f t="shared" si="407"/>
        <v>0</v>
      </c>
      <c r="G1109" s="82">
        <f t="shared" si="408"/>
        <v>1</v>
      </c>
      <c r="H1109" s="82">
        <f t="shared" si="408"/>
        <v>0.96773659085624741</v>
      </c>
      <c r="I1109" s="82">
        <f t="shared" si="408"/>
        <v>3.2263409143752551E-2</v>
      </c>
    </row>
    <row r="1110" spans="1:19" x14ac:dyDescent="0.2">
      <c r="A1110" s="13">
        <f t="shared" si="406"/>
        <v>1110</v>
      </c>
      <c r="B1110" s="8"/>
      <c r="C1110" s="8" t="str">
        <f t="shared" si="407"/>
        <v>440-RETAIL SALES REVENUE</v>
      </c>
      <c r="D1110" s="21" t="str">
        <f t="shared" si="407"/>
        <v/>
      </c>
      <c r="E1110" s="8" t="str">
        <f t="shared" si="407"/>
        <v>RETREV</v>
      </c>
      <c r="F1110" s="42">
        <f t="shared" si="407"/>
        <v>0</v>
      </c>
      <c r="G1110" s="82">
        <f t="shared" si="408"/>
        <v>1</v>
      </c>
      <c r="H1110" s="82">
        <f t="shared" si="408"/>
        <v>0.95300571297368797</v>
      </c>
      <c r="I1110" s="82">
        <f t="shared" si="408"/>
        <v>4.6994287026311962E-2</v>
      </c>
    </row>
    <row r="1111" spans="1:19" x14ac:dyDescent="0.2">
      <c r="A1111" s="13">
        <f t="shared" si="406"/>
        <v>1111</v>
      </c>
      <c r="B1111" s="8"/>
      <c r="C1111" s="8" t="str">
        <f t="shared" si="407"/>
        <v>447-WHOLESALE SALES REVENUE</v>
      </c>
      <c r="D1111" s="21" t="str">
        <f t="shared" si="407"/>
        <v/>
      </c>
      <c r="E1111" s="8" t="str">
        <f t="shared" si="407"/>
        <v>RESREV</v>
      </c>
      <c r="F1111" s="42">
        <f t="shared" si="407"/>
        <v>0</v>
      </c>
      <c r="G1111" s="82" t="e">
        <f t="shared" si="408"/>
        <v>#DIV/0!</v>
      </c>
      <c r="H1111" s="82" t="e">
        <f t="shared" si="408"/>
        <v>#DIV/0!</v>
      </c>
      <c r="I1111" s="82" t="e">
        <f t="shared" si="408"/>
        <v>#DIV/0!</v>
      </c>
    </row>
    <row r="1112" spans="1:19" x14ac:dyDescent="0.2">
      <c r="A1112" s="13">
        <f t="shared" si="406"/>
        <v>1112</v>
      </c>
      <c r="B1112" s="8"/>
      <c r="C1112" s="8" t="str">
        <f t="shared" ref="C1112:I1114" si="409">C1049</f>
        <v>IDAHO</v>
      </c>
      <c r="D1112" s="21" t="str">
        <f t="shared" si="409"/>
        <v/>
      </c>
      <c r="E1112" s="8" t="str">
        <f t="shared" si="409"/>
        <v>CIDA</v>
      </c>
      <c r="F1112" s="42">
        <f t="shared" si="409"/>
        <v>0</v>
      </c>
      <c r="G1112" s="82">
        <f t="shared" ref="G1112:I1113" si="410">G1049/$G1049</f>
        <v>1</v>
      </c>
      <c r="H1112" s="82">
        <f t="shared" si="410"/>
        <v>1</v>
      </c>
      <c r="I1112" s="82">
        <f t="shared" si="410"/>
        <v>0</v>
      </c>
    </row>
    <row r="1113" spans="1:19" x14ac:dyDescent="0.2">
      <c r="A1113" s="13">
        <f t="shared" si="406"/>
        <v>1113</v>
      </c>
      <c r="B1113" s="8"/>
      <c r="C1113" s="8" t="str">
        <f t="shared" si="409"/>
        <v>OREGON</v>
      </c>
      <c r="D1113" s="21" t="str">
        <f t="shared" si="409"/>
        <v/>
      </c>
      <c r="E1113" s="8" t="str">
        <f t="shared" si="409"/>
        <v>CODA</v>
      </c>
      <c r="F1113" s="42">
        <f t="shared" si="409"/>
        <v>0</v>
      </c>
      <c r="G1113" s="82">
        <f t="shared" si="410"/>
        <v>1</v>
      </c>
      <c r="H1113" s="82">
        <f t="shared" si="410"/>
        <v>0</v>
      </c>
      <c r="I1113" s="82">
        <f t="shared" si="410"/>
        <v>1</v>
      </c>
    </row>
    <row r="1114" spans="1:19" s="57" customFormat="1" x14ac:dyDescent="0.2">
      <c r="A1114" s="13">
        <f t="shared" si="406"/>
        <v>1114</v>
      </c>
      <c r="B1114" s="8" t="str">
        <f>B1051</f>
        <v/>
      </c>
      <c r="C1114" s="8" t="str">
        <f t="shared" si="409"/>
        <v>NET TO GROSS TAX MULTIPLIER</v>
      </c>
      <c r="D1114" s="58" t="str">
        <f t="shared" si="409"/>
        <v/>
      </c>
      <c r="E1114" s="85" t="str">
        <f t="shared" si="409"/>
        <v>DA990</v>
      </c>
      <c r="F1114" s="56">
        <f t="shared" si="409"/>
        <v>0</v>
      </c>
      <c r="G1114" s="56">
        <f t="shared" si="409"/>
        <v>1.347</v>
      </c>
      <c r="H1114" s="56">
        <f t="shared" si="409"/>
        <v>1.347</v>
      </c>
      <c r="I1114" s="56">
        <f t="shared" si="409"/>
        <v>1.347</v>
      </c>
      <c r="J1114" s="86"/>
      <c r="L1114" s="58"/>
      <c r="M1114" s="58"/>
      <c r="N1114" s="58"/>
      <c r="O1114" s="58"/>
      <c r="P1114" s="58"/>
      <c r="Q1114" s="58"/>
      <c r="R1114" s="58"/>
      <c r="S1114" s="58"/>
    </row>
    <row r="1115" spans="1:19" x14ac:dyDescent="0.2">
      <c r="A1115" s="13">
        <f t="shared" si="406"/>
        <v>1115</v>
      </c>
      <c r="B1115" s="84" t="str">
        <f>"* * * TABLE 15 - ALLOCATION FACTORS - RATIOS * * *"</f>
        <v>* * * TABLE 15 - ALLOCATION FACTORS - RATIOS * * *</v>
      </c>
      <c r="C1115" s="8"/>
      <c r="D1115" s="21"/>
      <c r="E1115" s="8"/>
      <c r="F1115" s="42"/>
    </row>
    <row r="1116" spans="1:19" x14ac:dyDescent="0.2">
      <c r="A1116" s="13">
        <f t="shared" si="406"/>
        <v>1116</v>
      </c>
      <c r="B1116" s="8" t="str">
        <f t="shared" ref="B1116:F1129" si="411">B1053</f>
        <v/>
      </c>
      <c r="C1116" s="8"/>
      <c r="D1116" s="21"/>
      <c r="E1116" s="8"/>
      <c r="F1116" s="42"/>
    </row>
    <row r="1117" spans="1:19" x14ac:dyDescent="0.2">
      <c r="A1117" s="13">
        <f t="shared" si="406"/>
        <v>1117</v>
      </c>
      <c r="B1117" s="8" t="str">
        <f t="shared" si="411"/>
        <v>INTERNALLY DEVELOPED ALLOCATION FACTORS</v>
      </c>
      <c r="C1117" s="8"/>
      <c r="D1117" s="21"/>
      <c r="E1117" s="8"/>
      <c r="F1117" s="42"/>
    </row>
    <row r="1118" spans="1:19" x14ac:dyDescent="0.2">
      <c r="A1118" s="13">
        <f t="shared" si="406"/>
        <v>1118</v>
      </c>
      <c r="B1118" s="8" t="str">
        <f t="shared" si="411"/>
        <v/>
      </c>
      <c r="C1118" s="8" t="str">
        <f t="shared" si="411"/>
        <v>PLANT - PROD,TRANS&amp;DIST</v>
      </c>
      <c r="D1118" s="21" t="str">
        <f t="shared" si="411"/>
        <v/>
      </c>
      <c r="E1118" s="8" t="str">
        <f t="shared" si="411"/>
        <v>PTD</v>
      </c>
      <c r="F1118" s="42">
        <f t="shared" si="411"/>
        <v>0</v>
      </c>
      <c r="G1118" s="82">
        <f t="shared" ref="G1118:I1129" si="412">G1055/$G1055</f>
        <v>1</v>
      </c>
      <c r="H1118" s="82">
        <f t="shared" si="412"/>
        <v>0.9592210271223286</v>
      </c>
      <c r="I1118" s="82">
        <f t="shared" si="412"/>
        <v>4.0778972877671495E-2</v>
      </c>
    </row>
    <row r="1119" spans="1:19" x14ac:dyDescent="0.2">
      <c r="A1119" s="13">
        <f t="shared" si="406"/>
        <v>1119</v>
      </c>
      <c r="B1119" s="8" t="str">
        <f t="shared" si="411"/>
        <v/>
      </c>
      <c r="C1119" s="8" t="str">
        <f t="shared" si="411"/>
        <v>LAB - PROD,TRANS,DIST,CUST ACCT&amp;CSIS</v>
      </c>
      <c r="D1119" s="21" t="str">
        <f t="shared" si="411"/>
        <v/>
      </c>
      <c r="E1119" s="8" t="str">
        <f t="shared" si="411"/>
        <v>PTDCAS</v>
      </c>
      <c r="F1119" s="42">
        <f t="shared" si="411"/>
        <v>0</v>
      </c>
      <c r="G1119" s="82">
        <f t="shared" si="412"/>
        <v>1</v>
      </c>
      <c r="H1119" s="82">
        <f t="shared" si="412"/>
        <v>0.95622847970634972</v>
      </c>
      <c r="I1119" s="82">
        <f t="shared" si="412"/>
        <v>4.3771520293650251E-2</v>
      </c>
    </row>
    <row r="1120" spans="1:19" x14ac:dyDescent="0.2">
      <c r="A1120" s="13">
        <f t="shared" si="406"/>
        <v>1120</v>
      </c>
      <c r="B1120" s="8" t="str">
        <f t="shared" si="411"/>
        <v/>
      </c>
      <c r="C1120" s="8" t="str">
        <f t="shared" si="411"/>
        <v>PLANT - HYDRO,OTHER,TSUBS,DSUBS&amp;GP</v>
      </c>
      <c r="D1120" s="21" t="str">
        <f t="shared" si="411"/>
        <v/>
      </c>
      <c r="E1120" s="8" t="str">
        <f t="shared" si="411"/>
        <v>P110P</v>
      </c>
      <c r="F1120" s="42">
        <f t="shared" si="411"/>
        <v>0</v>
      </c>
      <c r="G1120" s="82">
        <f t="shared" si="412"/>
        <v>1</v>
      </c>
      <c r="H1120" s="82">
        <f t="shared" si="412"/>
        <v>0.95938145069133796</v>
      </c>
      <c r="I1120" s="82">
        <f t="shared" si="412"/>
        <v>4.0618549308661898E-2</v>
      </c>
    </row>
    <row r="1121" spans="1:19" x14ac:dyDescent="0.2">
      <c r="A1121" s="13">
        <f t="shared" si="406"/>
        <v>1121</v>
      </c>
      <c r="B1121" s="8" t="str">
        <f t="shared" si="411"/>
        <v/>
      </c>
      <c r="C1121" s="8" t="str">
        <f t="shared" si="411"/>
        <v>PLANT - GEN PLT (390,391,397&amp;398)</v>
      </c>
      <c r="D1121" s="21" t="str">
        <f t="shared" si="411"/>
        <v/>
      </c>
      <c r="E1121" s="8" t="str">
        <f t="shared" si="411"/>
        <v>P3908</v>
      </c>
      <c r="F1121" s="42">
        <f t="shared" si="411"/>
        <v>0</v>
      </c>
      <c r="G1121" s="82">
        <f t="shared" si="412"/>
        <v>1</v>
      </c>
      <c r="H1121" s="82">
        <f t="shared" si="412"/>
        <v>0.95922102712232848</v>
      </c>
      <c r="I1121" s="82">
        <f t="shared" si="412"/>
        <v>4.0778972877671488E-2</v>
      </c>
    </row>
    <row r="1122" spans="1:19" x14ac:dyDescent="0.2">
      <c r="A1122" s="13">
        <f t="shared" si="406"/>
        <v>1122</v>
      </c>
      <c r="B1122" s="8" t="str">
        <f t="shared" si="411"/>
        <v/>
      </c>
      <c r="C1122" s="8" t="str">
        <f t="shared" si="411"/>
        <v>PLANT - PROD,TRANS,DIST&amp;GEN</v>
      </c>
      <c r="D1122" s="21" t="str">
        <f t="shared" si="411"/>
        <v/>
      </c>
      <c r="E1122" s="8" t="str">
        <f t="shared" si="411"/>
        <v>P101P</v>
      </c>
      <c r="F1122" s="42">
        <f t="shared" si="411"/>
        <v>0</v>
      </c>
      <c r="G1122" s="82">
        <f t="shared" si="412"/>
        <v>1</v>
      </c>
      <c r="H1122" s="82">
        <f t="shared" si="412"/>
        <v>0.95922102712232848</v>
      </c>
      <c r="I1122" s="82">
        <f t="shared" si="412"/>
        <v>4.0778972877671488E-2</v>
      </c>
    </row>
    <row r="1123" spans="1:19" x14ac:dyDescent="0.2">
      <c r="A1123" s="13">
        <f t="shared" si="406"/>
        <v>1123</v>
      </c>
      <c r="B1123" s="8" t="str">
        <f t="shared" si="411"/>
        <v/>
      </c>
      <c r="C1123" s="8" t="str">
        <f t="shared" si="411"/>
        <v>O&amp;M - PROD,TRANS,DIST,CUST ACCT&amp;CSIS</v>
      </c>
      <c r="D1123" s="21" t="str">
        <f t="shared" si="411"/>
        <v/>
      </c>
      <c r="E1123" s="8" t="str">
        <f t="shared" si="411"/>
        <v>SUBEX</v>
      </c>
      <c r="F1123" s="42">
        <f t="shared" si="411"/>
        <v>0</v>
      </c>
      <c r="G1123" s="82">
        <f t="shared" si="412"/>
        <v>1</v>
      </c>
      <c r="H1123" s="82">
        <f t="shared" si="412"/>
        <v>0.95646636436007892</v>
      </c>
      <c r="I1123" s="82">
        <f t="shared" si="412"/>
        <v>4.3533635639921062E-2</v>
      </c>
    </row>
    <row r="1124" spans="1:19" x14ac:dyDescent="0.2">
      <c r="A1124" s="13">
        <f t="shared" si="406"/>
        <v>1124</v>
      </c>
      <c r="B1124" s="8" t="str">
        <f t="shared" si="411"/>
        <v/>
      </c>
      <c r="C1124" s="8" t="str">
        <f t="shared" si="411"/>
        <v>LAB - PROD,TRANS,DIST,CUST ACCT&amp;CSIS</v>
      </c>
      <c r="D1124" s="21" t="str">
        <f t="shared" si="411"/>
        <v/>
      </c>
      <c r="E1124" s="8" t="str">
        <f t="shared" si="411"/>
        <v>RELAB</v>
      </c>
      <c r="F1124" s="42">
        <f t="shared" si="411"/>
        <v>0</v>
      </c>
      <c r="G1124" s="82">
        <f t="shared" si="412"/>
        <v>1</v>
      </c>
      <c r="H1124" s="82">
        <f t="shared" si="412"/>
        <v>0.95622847970634972</v>
      </c>
      <c r="I1124" s="82">
        <f t="shared" si="412"/>
        <v>4.3771520293650251E-2</v>
      </c>
    </row>
    <row r="1125" spans="1:19" x14ac:dyDescent="0.2">
      <c r="A1125" s="13">
        <f t="shared" si="406"/>
        <v>1125</v>
      </c>
      <c r="B1125" s="8" t="str">
        <f t="shared" si="411"/>
        <v/>
      </c>
      <c r="C1125" s="8" t="str">
        <f t="shared" si="411"/>
        <v>LAB - ALL LABOR WITHOUT 925-6  "CIRC"</v>
      </c>
      <c r="D1125" s="21" t="str">
        <f t="shared" si="411"/>
        <v/>
      </c>
      <c r="E1125" s="8" t="str">
        <f t="shared" si="411"/>
        <v>LABOR</v>
      </c>
      <c r="F1125" s="42">
        <f t="shared" si="411"/>
        <v>0</v>
      </c>
      <c r="G1125" s="82">
        <f t="shared" si="412"/>
        <v>1</v>
      </c>
      <c r="H1125" s="82">
        <f t="shared" si="412"/>
        <v>0.9562501440870621</v>
      </c>
      <c r="I1125" s="82">
        <f t="shared" si="412"/>
        <v>4.374985591293782E-2</v>
      </c>
    </row>
    <row r="1126" spans="1:19" x14ac:dyDescent="0.2">
      <c r="A1126" s="13">
        <f t="shared" si="406"/>
        <v>1126</v>
      </c>
      <c r="B1126" s="8" t="str">
        <f t="shared" si="411"/>
        <v/>
      </c>
      <c r="C1126" s="8" t="str">
        <f t="shared" si="411"/>
        <v>REV - RETAIL, RESALE &amp; WHEELING</v>
      </c>
      <c r="D1126" s="21" t="str">
        <f t="shared" si="411"/>
        <v/>
      </c>
      <c r="E1126" s="8" t="str">
        <f t="shared" si="411"/>
        <v>FMREV</v>
      </c>
      <c r="F1126" s="42">
        <f t="shared" si="411"/>
        <v>0</v>
      </c>
      <c r="G1126" s="82">
        <f t="shared" si="412"/>
        <v>1</v>
      </c>
      <c r="H1126" s="82">
        <f t="shared" si="412"/>
        <v>0.95210209418553127</v>
      </c>
      <c r="I1126" s="82">
        <f t="shared" si="412"/>
        <v>4.789790581446883E-2</v>
      </c>
    </row>
    <row r="1127" spans="1:19" x14ac:dyDescent="0.2">
      <c r="A1127" s="13">
        <f t="shared" si="406"/>
        <v>1127</v>
      </c>
      <c r="B1127" s="8" t="str">
        <f t="shared" si="411"/>
        <v/>
      </c>
      <c r="C1127" s="8" t="str">
        <f t="shared" si="411"/>
        <v>O&amp;M - ALL EXCEPT FUEL</v>
      </c>
      <c r="D1127" s="21" t="str">
        <f t="shared" si="411"/>
        <v/>
      </c>
      <c r="E1127" s="8" t="str">
        <f t="shared" si="411"/>
        <v>O&amp;M M</v>
      </c>
      <c r="F1127" s="42">
        <f t="shared" si="411"/>
        <v>0</v>
      </c>
      <c r="G1127" s="82">
        <f t="shared" si="412"/>
        <v>1</v>
      </c>
      <c r="H1127" s="82">
        <f t="shared" si="412"/>
        <v>0.9533549768205466</v>
      </c>
      <c r="I1127" s="82">
        <f t="shared" si="412"/>
        <v>4.6645023179453321E-2</v>
      </c>
    </row>
    <row r="1128" spans="1:19" x14ac:dyDescent="0.2">
      <c r="A1128" s="13">
        <f t="shared" si="406"/>
        <v>1128</v>
      </c>
      <c r="B1128" s="8" t="str">
        <f t="shared" si="411"/>
        <v/>
      </c>
      <c r="C1128" s="8" t="str">
        <f t="shared" si="411"/>
        <v>PLANT - 89%*HYD PROD + 11%*TRANS</v>
      </c>
      <c r="D1128" s="21" t="str">
        <f t="shared" si="411"/>
        <v/>
      </c>
      <c r="E1128" s="8" t="str">
        <f t="shared" si="411"/>
        <v>SURVEY</v>
      </c>
      <c r="F1128" s="42">
        <f t="shared" si="411"/>
        <v>0</v>
      </c>
      <c r="G1128" s="82">
        <f t="shared" si="412"/>
        <v>1</v>
      </c>
      <c r="H1128" s="82">
        <f t="shared" si="412"/>
        <v>0.96013654054837105</v>
      </c>
      <c r="I1128" s="82">
        <f t="shared" si="412"/>
        <v>3.9863459451628919E-2</v>
      </c>
    </row>
    <row r="1129" spans="1:19" x14ac:dyDescent="0.2">
      <c r="A1129" s="13">
        <f t="shared" si="406"/>
        <v>1129</v>
      </c>
      <c r="B1129" s="8" t="str">
        <f t="shared" si="411"/>
        <v/>
      </c>
      <c r="C1129" s="8" t="str">
        <f t="shared" si="411"/>
        <v>O&amp;M - TOTAL (NOT USED)</v>
      </c>
      <c r="D1129" s="21" t="str">
        <f t="shared" si="411"/>
        <v/>
      </c>
      <c r="E1129" s="8" t="str">
        <f t="shared" si="411"/>
        <v>OM401</v>
      </c>
      <c r="F1129" s="42">
        <f t="shared" si="411"/>
        <v>0</v>
      </c>
      <c r="G1129" s="82">
        <f t="shared" si="412"/>
        <v>1</v>
      </c>
      <c r="H1129" s="82">
        <f t="shared" si="412"/>
        <v>0.95378850253078862</v>
      </c>
      <c r="I1129" s="82">
        <f t="shared" si="412"/>
        <v>4.6211497469211438E-2</v>
      </c>
    </row>
    <row r="1131" spans="1:19" s="94" customFormat="1" ht="13.2" x14ac:dyDescent="0.25">
      <c r="A1131" s="87" t="s">
        <v>638</v>
      </c>
      <c r="B1131" s="88"/>
      <c r="C1131" s="89"/>
      <c r="D1131" s="90"/>
      <c r="E1131" s="91"/>
      <c r="F1131" s="92"/>
      <c r="G1131" s="89"/>
      <c r="H1131" s="89"/>
      <c r="I1131" s="89"/>
      <c r="J1131" s="93"/>
      <c r="L1131" s="95"/>
      <c r="M1131" s="95"/>
      <c r="N1131" s="95"/>
      <c r="O1131" s="95"/>
      <c r="P1131" s="95"/>
      <c r="Q1131" s="95"/>
      <c r="R1131" s="95"/>
      <c r="S1131" s="95"/>
    </row>
    <row r="1132" spans="1:19" ht="13.2" x14ac:dyDescent="0.25">
      <c r="A1132" s="96"/>
      <c r="B1132" s="97" t="s">
        <v>639</v>
      </c>
    </row>
    <row r="1133" spans="1:19" ht="13.2" x14ac:dyDescent="0.25">
      <c r="A1133" s="100"/>
      <c r="B1133" s="101" t="s">
        <v>640</v>
      </c>
      <c r="C1133" s="102"/>
      <c r="D1133" s="103"/>
      <c r="E1133" s="104"/>
      <c r="F1133" s="105"/>
      <c r="G1133" s="102"/>
      <c r="H1133" s="102"/>
      <c r="I1133" s="102"/>
    </row>
    <row r="1134" spans="1:19" x14ac:dyDescent="0.2">
      <c r="B1134" s="4"/>
      <c r="C1134" s="4"/>
      <c r="D1134" s="43"/>
      <c r="E1134" s="44"/>
      <c r="F1134" s="71"/>
      <c r="G1134" s="46"/>
    </row>
    <row r="1135" spans="1:19" x14ac:dyDescent="0.2">
      <c r="B1135" s="4"/>
      <c r="C1135" s="4"/>
      <c r="D1135" s="43"/>
      <c r="E1135" s="44"/>
      <c r="F1135" s="71"/>
      <c r="G1135" s="46"/>
    </row>
    <row r="1136" spans="1:19" ht="12" x14ac:dyDescent="0.25">
      <c r="B1136" s="106" t="s">
        <v>641</v>
      </c>
      <c r="C1136" s="5"/>
    </row>
    <row r="1137" spans="2:8" x14ac:dyDescent="0.2">
      <c r="B1137" s="5"/>
      <c r="C1137" s="5"/>
    </row>
    <row r="1138" spans="2:8" x14ac:dyDescent="0.2">
      <c r="B1138" s="5" t="s">
        <v>642</v>
      </c>
      <c r="C1138" s="5" t="s">
        <v>642</v>
      </c>
      <c r="D1138" s="98" t="s">
        <v>642</v>
      </c>
      <c r="E1138" s="99" t="s">
        <v>642</v>
      </c>
      <c r="G1138" s="42" t="s">
        <v>642</v>
      </c>
      <c r="H1138" s="42" t="s">
        <v>642</v>
      </c>
    </row>
    <row r="1139" spans="2:8" x14ac:dyDescent="0.2">
      <c r="B1139" s="5" t="s">
        <v>643</v>
      </c>
      <c r="C1139" s="5"/>
    </row>
    <row r="1140" spans="2:8" x14ac:dyDescent="0.2">
      <c r="B1140" s="5"/>
      <c r="C1140" s="5" t="s">
        <v>644</v>
      </c>
      <c r="E1140" s="99">
        <v>1</v>
      </c>
      <c r="F1140" s="107"/>
    </row>
    <row r="1141" spans="2:8" x14ac:dyDescent="0.2">
      <c r="B1141" s="5"/>
      <c r="C1141" s="5" t="s">
        <v>645</v>
      </c>
      <c r="E1141" s="99">
        <v>2</v>
      </c>
      <c r="F1141" s="107"/>
    </row>
    <row r="1142" spans="2:8" x14ac:dyDescent="0.2">
      <c r="B1142" s="5"/>
      <c r="C1142" s="5" t="s">
        <v>646</v>
      </c>
      <c r="E1142" s="99">
        <v>3</v>
      </c>
      <c r="F1142" s="107"/>
    </row>
    <row r="1143" spans="2:8" x14ac:dyDescent="0.2">
      <c r="B1143" s="5"/>
      <c r="C1143" s="5" t="s">
        <v>647</v>
      </c>
      <c r="E1143" s="99">
        <v>4</v>
      </c>
      <c r="F1143" s="107"/>
    </row>
    <row r="1144" spans="2:8" x14ac:dyDescent="0.2">
      <c r="B1144" s="5"/>
      <c r="C1144" s="5" t="s">
        <v>648</v>
      </c>
      <c r="E1144" s="99">
        <v>5</v>
      </c>
      <c r="F1144" s="107"/>
    </row>
    <row r="1145" spans="2:8" x14ac:dyDescent="0.2">
      <c r="B1145" s="5"/>
      <c r="C1145" s="5" t="s">
        <v>649</v>
      </c>
      <c r="E1145" s="99">
        <v>6</v>
      </c>
      <c r="F1145" s="107"/>
    </row>
    <row r="1146" spans="2:8" x14ac:dyDescent="0.2">
      <c r="B1146" s="5"/>
      <c r="C1146" s="5" t="s">
        <v>650</v>
      </c>
      <c r="E1146" s="99">
        <v>7</v>
      </c>
      <c r="F1146" s="107"/>
    </row>
    <row r="1147" spans="2:8" x14ac:dyDescent="0.2">
      <c r="B1147" s="5"/>
      <c r="C1147" s="5" t="s">
        <v>651</v>
      </c>
      <c r="E1147" s="99">
        <v>8</v>
      </c>
      <c r="F1147" s="107"/>
    </row>
    <row r="1148" spans="2:8" x14ac:dyDescent="0.2">
      <c r="B1148" s="5"/>
      <c r="C1148" s="5" t="s">
        <v>5</v>
      </c>
    </row>
    <row r="1149" spans="2:8" x14ac:dyDescent="0.2">
      <c r="B1149" s="5"/>
      <c r="C1149" s="5" t="s">
        <v>652</v>
      </c>
      <c r="E1149" s="99">
        <v>7</v>
      </c>
      <c r="F1149" s="108"/>
      <c r="G1149" s="42" t="s">
        <v>653</v>
      </c>
    </row>
    <row r="1150" spans="2:8" x14ac:dyDescent="0.2">
      <c r="B1150" s="5"/>
      <c r="C1150" s="5"/>
    </row>
    <row r="1151" spans="2:8" x14ac:dyDescent="0.2">
      <c r="B1151" s="5" t="s">
        <v>642</v>
      </c>
      <c r="C1151" s="5" t="s">
        <v>642</v>
      </c>
      <c r="D1151" s="98" t="s">
        <v>642</v>
      </c>
      <c r="E1151" s="99" t="s">
        <v>642</v>
      </c>
      <c r="G1151" s="42" t="s">
        <v>642</v>
      </c>
      <c r="H1151" s="42" t="s">
        <v>642</v>
      </c>
    </row>
  </sheetData>
  <printOptions horizontalCentered="1"/>
  <pageMargins left="0.7" right="0.7" top="0.75" bottom="0.75" header="0.3" footer="0.3"/>
  <pageSetup scale="87" orientation="landscape" r:id="rId1"/>
  <headerFooter>
    <oddFooter>&amp;RAppendix 7.2 - Idaho ROO 
Page &amp;P of &amp;N</oddFooter>
  </headerFooter>
  <rowBreaks count="36" manualBreakCount="36">
    <brk id="47" max="16383" man="1"/>
    <brk id="89" max="16383" man="1"/>
    <brk id="121" max="16383" man="1"/>
    <brk id="144" max="16383" man="1"/>
    <brk id="179" max="16383" man="1"/>
    <brk id="213" max="16383" man="1"/>
    <brk id="243" max="16383" man="1"/>
    <brk id="285" max="16383" man="1"/>
    <brk id="330" max="16383" man="1"/>
    <brk id="360" max="16383" man="1"/>
    <brk id="377" max="16383" man="1"/>
    <brk id="412" max="16383" man="1"/>
    <brk id="446" max="16383" man="1"/>
    <brk id="478" max="16383" man="1"/>
    <brk id="501" max="16383" man="1"/>
    <brk id="527" max="16383" man="1"/>
    <brk id="558" max="16383" man="1"/>
    <brk id="574" max="16383" man="1"/>
    <brk id="610" max="16383" man="1"/>
    <brk id="622" max="16383" man="1"/>
    <brk id="655" max="16383" man="1"/>
    <brk id="686" max="16383" man="1"/>
    <brk id="724" max="16383" man="1"/>
    <brk id="750" max="16383" man="1"/>
    <brk id="792" max="16383" man="1"/>
    <brk id="824" max="16383" man="1"/>
    <brk id="864" max="16383" man="1"/>
    <brk id="902" max="16383" man="1"/>
    <brk id="933" max="16383" man="1"/>
    <brk id="966" max="16383" man="1"/>
    <brk id="1000" max="16383" man="1"/>
    <brk id="1020" max="16383" man="1"/>
    <brk id="1051" max="16383" man="1"/>
    <brk id="1066" max="16383" man="1"/>
    <brk id="1086" max="16383" man="1"/>
    <brk id="1114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E4FF0210036A4EB84880D4259E84E2" ma:contentTypeVersion="15" ma:contentTypeDescription="Create a new document." ma:contentTypeScope="" ma:versionID="4138434512599d072532e52b4ba72ed1">
  <xsd:schema xmlns:xsd="http://www.w3.org/2001/XMLSchema" xmlns:xs="http://www.w3.org/2001/XMLSchema" xmlns:p="http://schemas.microsoft.com/office/2006/metadata/properties" xmlns:ns2="85247408-4876-4c58-8512-699e0b1fe3a7" xmlns:ns3="530c9a66-7473-4e82-81fb-9d30d5919279" targetNamespace="http://schemas.microsoft.com/office/2006/metadata/properties" ma:root="true" ma:fieldsID="106f34f32b690e82cb98328763852931" ns2:_="" ns3:_="">
    <xsd:import namespace="85247408-4876-4c58-8512-699e0b1fe3a7"/>
    <xsd:import namespace="530c9a66-7473-4e82-81fb-9d30d59192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247408-4876-4c58-8512-699e0b1fe3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12a42bc6-61fd-485c-9a76-47c28c1bcc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0c9a66-7473-4e82-81fb-9d30d591927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1519ab1-fb43-4629-973b-84152735ffcd}" ma:internalName="TaxCatchAll" ma:showField="CatchAllData" ma:web="530c9a66-7473-4e82-81fb-9d30d59192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0c9a66-7473-4e82-81fb-9d30d5919279" xsi:nil="true"/>
    <lcf76f155ced4ddcb4097134ff3c332f xmlns="85247408-4876-4c58-8512-699e0b1fe3a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ED1BBF5-1357-462A-BC2B-53DAEA04EC52}"/>
</file>

<file path=customXml/itemProps2.xml><?xml version="1.0" encoding="utf-8"?>
<ds:datastoreItem xmlns:ds="http://schemas.openxmlformats.org/officeDocument/2006/customXml" ds:itemID="{CA608E64-F03C-46B4-B74F-690E168A3B0E}"/>
</file>

<file path=customXml/itemProps3.xml><?xml version="1.0" encoding="utf-8"?>
<ds:datastoreItem xmlns:ds="http://schemas.openxmlformats.org/officeDocument/2006/customXml" ds:itemID="{2527E401-7E7C-4AFE-8243-F1DF18CD7AB6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2021 ROO</vt:lpstr>
      <vt:lpstr>'2021 ROO'!Print_Area</vt:lpstr>
      <vt:lpstr>'2021 ROO'!Print_Titles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2022-06-21T17:55:55Z</cp:lastPrinted>
  <dcterms:created xsi:type="dcterms:W3CDTF">2022-06-02T22:54:39Z</dcterms:created>
  <dcterms:modified xsi:type="dcterms:W3CDTF">2022-06-28T14:41:59Z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4b49261-55b4-4c61-a7f3-ea1fabfcd5b2_Enabled">
    <vt:lpwstr>true</vt:lpwstr>
  </property>
  <property fmtid="{D5CDD505-2E9C-101B-9397-08002B2CF9AE}" pid="3" name="MSIP_Label_b4b49261-55b4-4c61-a7f3-ea1fabfcd5b2_SetDate">
    <vt:lpwstr>2022-06-21T15:52:37Z</vt:lpwstr>
  </property>
  <property fmtid="{D5CDD505-2E9C-101B-9397-08002B2CF9AE}" pid="4" name="MSIP_Label_b4b49261-55b4-4c61-a7f3-ea1fabfcd5b2_Method">
    <vt:lpwstr>Privileged</vt:lpwstr>
  </property>
  <property fmtid="{D5CDD505-2E9C-101B-9397-08002B2CF9AE}" pid="5" name="MSIP_Label_b4b49261-55b4-4c61-a7f3-ea1fabfcd5b2_Name">
    <vt:lpwstr>Public - No Footer</vt:lpwstr>
  </property>
  <property fmtid="{D5CDD505-2E9C-101B-9397-08002B2CF9AE}" pid="6" name="MSIP_Label_b4b49261-55b4-4c61-a7f3-ea1fabfcd5b2_SiteId">
    <vt:lpwstr>e1a7ae20-258a-4360-9870-74c2b37bfec5</vt:lpwstr>
  </property>
  <property fmtid="{D5CDD505-2E9C-101B-9397-08002B2CF9AE}" pid="7" name="MSIP_Label_b4b49261-55b4-4c61-a7f3-ea1fabfcd5b2_ActionId">
    <vt:lpwstr>3382c43b-5b65-494c-935c-24ea923bf0cc</vt:lpwstr>
  </property>
  <property fmtid="{D5CDD505-2E9C-101B-9397-08002B2CF9AE}" pid="8" name="MSIP_Label_b4b49261-55b4-4c61-a7f3-ea1fabfcd5b2_ContentBits">
    <vt:lpwstr>0</vt:lpwstr>
  </property>
  <property fmtid="{D5CDD505-2E9C-101B-9397-08002B2CF9AE}" pid="9" name="ContentTypeId">
    <vt:lpwstr>0x010100F9E4FF0210036A4EB84880D4259E84E2</vt:lpwstr>
  </property>
</Properties>
</file>